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2"/>
  </bookViews>
  <sheets>
    <sheet name="2 обр" sheetId="1" r:id="rId1"/>
    <sheet name="ассигн.с прогр." sheetId="2" r:id="rId2"/>
    <sheet name="ассигн.со скиф" sheetId="3" r:id="rId3"/>
  </sheets>
  <definedNames>
    <definedName name="_xlnm.Print_Area" localSheetId="0">'2 обр'!$A$1:$R$371</definedName>
    <definedName name="_xlnm.Print_Area" localSheetId="1">'ассигн.с прогр.'!$A$1:$R$371</definedName>
    <definedName name="_xlnm.Print_Area" localSheetId="2">'ассигн.со скиф'!$A$1:$R$380</definedName>
  </definedNames>
  <calcPr fullCalcOnLoad="1"/>
</workbook>
</file>

<file path=xl/sharedStrings.xml><?xml version="1.0" encoding="utf-8"?>
<sst xmlns="http://schemas.openxmlformats.org/spreadsheetml/2006/main" count="6083" uniqueCount="332">
  <si>
    <t>Расходы по РЦП "Молодежь Павловского района"</t>
  </si>
  <si>
    <t>518 01 00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</si>
  <si>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</si>
  <si>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</si>
  <si>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</si>
  <si>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</si>
  <si>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</si>
  <si>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</si>
  <si>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</si>
  <si>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</si>
  <si>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</si>
  <si>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</si>
  <si>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</si>
  <si>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</si>
  <si>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</si>
  <si>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</si>
  <si>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</si>
  <si>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</si>
  <si>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</si>
  <si>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</si>
  <si>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</si>
  <si>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</si>
  <si>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09</t>
  </si>
  <si>
    <t>10</t>
  </si>
  <si>
    <t>03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</si>
  <si>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</si>
  <si>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</si>
  <si>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</si>
  <si>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</si>
  <si>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000 00 00</t>
  </si>
  <si>
    <t>452 00 00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</si>
  <si>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</si>
  <si>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</si>
  <si>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</si>
  <si>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</si>
  <si>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</si>
  <si>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</si>
  <si>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</si>
  <si>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421 00 00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</si>
  <si>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</si>
  <si>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</si>
  <si>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</si>
  <si>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</si>
  <si>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</si>
  <si>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 xml:space="preserve">000 </t>
  </si>
  <si>
    <t>05</t>
  </si>
  <si>
    <t>08</t>
  </si>
  <si>
    <t>440 00 00</t>
  </si>
  <si>
    <t>Библиотеки</t>
  </si>
  <si>
    <t>503</t>
  </si>
  <si>
    <t>Национальная экономика</t>
  </si>
  <si>
    <t>Мероприятия в области коммунального хозяйства</t>
  </si>
  <si>
    <t>520 00 00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</si>
  <si>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</si>
  <si>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</si>
  <si>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</si>
  <si>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</si>
  <si>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</si>
  <si>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</si>
  <si>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</si>
  <si>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</si>
  <si>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</si>
  <si>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</si>
  <si>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</si>
  <si>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</si>
  <si>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>002 00 00</t>
  </si>
  <si>
    <t>002 04 00</t>
  </si>
  <si>
    <t>558</t>
  </si>
  <si>
    <t>423 99 00</t>
  </si>
  <si>
    <t>Культура</t>
  </si>
  <si>
    <t xml:space="preserve">Обеспечение деятельности подведомственных учреждений </t>
  </si>
  <si>
    <t>440 99 00</t>
  </si>
  <si>
    <t>442 99 00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</si>
  <si>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</si>
  <si>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</si>
  <si>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</si>
  <si>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</si>
  <si>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</si>
  <si>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</si>
  <si>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</si>
  <si>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</si>
  <si>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</si>
  <si>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</si>
  <si>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</si>
  <si>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521 02 03</t>
  </si>
  <si>
    <t>Субсидии юридическим лицам</t>
  </si>
  <si>
    <t>Резервные фонды местных администраций</t>
  </si>
  <si>
    <t>Выравнивание бюджетной обеспеченности</t>
  </si>
  <si>
    <t xml:space="preserve">Выравнивание бюджетной обеспеченности поселений из районного фонда финансовой поддержки </t>
  </si>
  <si>
    <t>Фонд финансовой поддержки</t>
  </si>
  <si>
    <t>Защита населения и территории от чрезвычайных ситуаций природного и техногенного характера, гражданская оборона</t>
  </si>
  <si>
    <t>528</t>
  </si>
  <si>
    <t>Коммунальное хозяйство</t>
  </si>
  <si>
    <t>Иные межбюджетные трансферты</t>
  </si>
  <si>
    <t>Жилищно-коммунальное хозяйство</t>
  </si>
  <si>
    <t>Музеи и постоянные выставки</t>
  </si>
  <si>
    <t>441 00 00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</si>
  <si>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</si>
  <si>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</si>
  <si>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</si>
  <si>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</si>
  <si>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Другие вопросы в области национальной экономики</t>
  </si>
  <si>
    <t>Субсидии на государственную поддержку малого предпринимательства, включая крестьянские (фермерские) хозяйства</t>
  </si>
  <si>
    <t>070 05 00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</si>
  <si>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</si>
  <si>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</si>
  <si>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</si>
  <si>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001 38 00</t>
  </si>
  <si>
    <t>020</t>
  </si>
  <si>
    <t>Региональные целевые программы</t>
  </si>
  <si>
    <t>Учреждения по обеспечению хозяйственного обслуживания</t>
  </si>
  <si>
    <t>Руководство и управление в сфере установленных функций</t>
  </si>
  <si>
    <t xml:space="preserve">Областной бюджет - СУБВЕНЦИИ  </t>
  </si>
  <si>
    <t xml:space="preserve">Местный бюдж + 3 дотации 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</si>
  <si>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</si>
  <si>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</si>
  <si>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13</t>
  </si>
  <si>
    <t>Национальная безопасность и правоохранительная деятельность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</si>
  <si>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</si>
  <si>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</si>
  <si>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</si>
  <si>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</si>
  <si>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Другие вопросы в области здравоохранения</t>
  </si>
  <si>
    <t>Управление финансов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</si>
  <si>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</si>
  <si>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093 00 00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</si>
  <si>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</si>
  <si>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</si>
  <si>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</si>
  <si>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</si>
  <si>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</si>
  <si>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</si>
  <si>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Иные выплаты персоналу, за исключением фонда оплаты труда</t>
  </si>
  <si>
    <t>Фонд оплаты труда и страховые взносы</t>
  </si>
  <si>
    <t>870</t>
  </si>
  <si>
    <t>111</t>
  </si>
  <si>
    <t>112</t>
  </si>
  <si>
    <t>852</t>
  </si>
  <si>
    <t>Уплата прочих налогов, сборов и иных обязательных платежей</t>
  </si>
  <si>
    <t>360</t>
  </si>
  <si>
    <t>Иные выплаты населению</t>
  </si>
  <si>
    <t>611</t>
  </si>
  <si>
    <t>Прочая закупка товаров, работ и услуг для муниципальных нужд</t>
  </si>
  <si>
    <t>Областная целевая программа "Развитие сельского хозяйства Ульяновской области" на 2008-2012 г.</t>
  </si>
  <si>
    <t>511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</si>
  <si>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</si>
  <si>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Резервные средства</t>
  </si>
  <si>
    <t>Прочие межбюджетные трансферты бюджетам субъектов РФ и муниципальных образований общего характера</t>
  </si>
  <si>
    <t>540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</si>
  <si>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</si>
  <si>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Выплата заработной платы с начислениями работникам муниципальных учреждений и оплата  коммунальных услуг</t>
  </si>
  <si>
    <t xml:space="preserve">503 </t>
  </si>
  <si>
    <t>Мероприятия в области здравоохранения, спорта и физической культуры, туризма</t>
  </si>
  <si>
    <t>Областные целевые программы</t>
  </si>
  <si>
    <t>Проведение муниципальных выборов</t>
  </si>
  <si>
    <t>Проведение  выборов и референдумов</t>
  </si>
  <si>
    <t>Обеспечение проведения  выборов и референдумов</t>
  </si>
  <si>
    <t>Отдел культуры и организации досуга населению муниципального образования "Павловский район"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</si>
  <si>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</si>
  <si>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</si>
  <si>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</si>
  <si>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521 03 00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</si>
  <si>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</si>
  <si>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</si>
  <si>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521 12 00</t>
  </si>
  <si>
    <t xml:space="preserve">Субвенции  на осуществление 
переданного органам местного самоуправления государственного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предусмотрен-ных Кодексом Ульяновской области 
об административных правонарушениях
</t>
  </si>
  <si>
    <t>521 14 00</t>
  </si>
  <si>
    <t xml:space="preserve">521 14 00 </t>
  </si>
  <si>
    <t>Органы юстиции</t>
  </si>
  <si>
    <t>Субвенции бюджетам на государственную регистрацию актов гражданского состояния</t>
  </si>
  <si>
    <t>Прочая закупка товаров, работ и услуг для государственных нужд</t>
  </si>
  <si>
    <t>Сельское хозяйство и рыболовство</t>
  </si>
  <si>
    <t xml:space="preserve">Субвенции бюджетам субъектов Российской Федерации и муниципальных образований на передачу полномочий по отлову безнадзорных домашних животных </t>
  </si>
  <si>
    <t>521</t>
  </si>
  <si>
    <t xml:space="preserve">Субсидии на осуществление мероприятий по обеспечению жильем молодых семей и молодых специалистов, проживающих  в сельской местности </t>
  </si>
  <si>
    <t>Федеральная целевая программа "Социальное развитие села до 2013 года"</t>
  </si>
  <si>
    <t>Национальная оборона</t>
  </si>
  <si>
    <t>Мобилизационная и вневойсковая подготовка</t>
  </si>
  <si>
    <t>001 00 00</t>
  </si>
  <si>
    <t>Осуществление первичного воинского учёта на территориях, где отсутствуют военные комиссариаты</t>
  </si>
  <si>
    <t>001 36 00</t>
  </si>
  <si>
    <t>Субвенции</t>
  </si>
  <si>
    <t>530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</si>
  <si>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</si>
  <si>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521 01 00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</si>
  <si>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</si>
  <si>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521 04 00</t>
  </si>
  <si>
    <t>Финансирование общеобразовательных учреждений, реализующих основные общеобразовательные программы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</si>
  <si>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</t>
  </si>
  <si>
    <t>521 16 00</t>
  </si>
  <si>
    <t>Стипендии</t>
  </si>
  <si>
    <t>340</t>
  </si>
  <si>
    <t>Областная целевая программа «Культура в Ульяновской области» на 2012-2016 годы</t>
  </si>
  <si>
    <t>Реконструкция и проведение ремонтно-реставрационных работ зданий, укрепление материально-технической базы учреждений культуры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</si>
  <si>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</si>
  <si>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</si>
  <si>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Средства на реализацию Закона Ульяновской области от 02.05.2012 № 49-ЗО «О мерах социальной поддержки отдельных категорий молодых специалистов на территории Ульяновской области»</t>
  </si>
  <si>
    <t>505 98 00</t>
  </si>
  <si>
    <t>505 00 00</t>
  </si>
  <si>
    <t>505 97 00</t>
  </si>
  <si>
    <t>Охрана семьи и детства</t>
  </si>
  <si>
    <t>521 02 00</t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</si>
  <si>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</si>
  <si>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>Содержание ребенка в семье опекуна и приемной семье, а также оплата труда приемного родителя</t>
  </si>
  <si>
    <t>521 06 00</t>
  </si>
  <si>
    <t>521 06 20</t>
  </si>
  <si>
    <t xml:space="preserve">Опека и попечительство в отношении  несовершеннолетних </t>
  </si>
  <si>
    <t>521 11 00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</si>
  <si>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</si>
  <si>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521 13 00</t>
  </si>
  <si>
    <t xml:space="preserve">Мероприятия по проведению оздоровительной кампании детей 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</si>
  <si>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</si>
  <si>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</si>
  <si>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 xml:space="preserve">Ежемесячное денежное вознаграждение за классное руководство  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</si>
  <si>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</si>
  <si>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</si>
  <si>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 xml:space="preserve">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</si>
  <si>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Расходы по муниципальной программе "Комплексные меры по профилактике правонарушений на территории муниципального образования "Павловский район" </t>
  </si>
  <si>
    <t xml:space="preserve">Расходы по муниципальной программе "Комплексные меры противодействия злоупотребления наркотикам и их незаконному обороту  на территории муниципального образования "Павловский район" </t>
  </si>
  <si>
    <t>Расходы по муниципальным целевым программам</t>
  </si>
  <si>
    <t>795 00 00</t>
  </si>
  <si>
    <t>Расходы по муниципальной целевой программе занятости населения Павловского района на 2011-2013 годы</t>
  </si>
  <si>
    <t>Другие вопросы в области жилищно-коммунального хозяйства</t>
  </si>
  <si>
    <t>Субвенции на осуществление , переданного  ОМС гос.полномочия Ульяновской области по установлению нормативов потребления населением  твердого топлива</t>
  </si>
  <si>
    <t>521 20 00</t>
  </si>
  <si>
    <t>321</t>
  </si>
  <si>
    <t>Пособия и компенсация гражданам и иные соц.выплаты , кроме публичных нормативных обязательств</t>
  </si>
  <si>
    <t>522 21 04</t>
  </si>
  <si>
    <t>432 11 00</t>
  </si>
  <si>
    <t>Реализация Закона Ульяновской области "Об организации оздоровления работников бюджетной сферы на территории Ульяновской области"</t>
  </si>
  <si>
    <t>522 98 00</t>
  </si>
  <si>
    <t>522 98 01</t>
  </si>
  <si>
    <t>Мероприятия по проведению оздоровительной компании детей</t>
  </si>
  <si>
    <t>432 10 00</t>
  </si>
  <si>
    <t>432 00 00</t>
  </si>
  <si>
    <t>Субвенции на обеспечение отдыха детей в детских оздоровительных лагерях</t>
  </si>
  <si>
    <t>Субвенции на обеспечение отдыха детей в  лагерях  с дневным пребыванием</t>
  </si>
  <si>
    <t xml:space="preserve">Субсидии для софинансирования расходных обязательств, возникших при выполнении полномочий органов местного самоуправления  по вопросам местного значения </t>
  </si>
  <si>
    <t>Субвенции на проезд детей сирот</t>
  </si>
  <si>
    <t>880</t>
  </si>
  <si>
    <t>Специальные расходы</t>
  </si>
  <si>
    <t>В т.ч. субсидии на осуществление мероприятий по обеспечению жильем  граждан, проживающих и работающих в сельской местности, местный бюджет</t>
  </si>
  <si>
    <t>522 21 05</t>
  </si>
  <si>
    <t>Расходы по МЦП"Реформирование муниципальных  финансов"</t>
  </si>
  <si>
    <t xml:space="preserve"> 002 00 00</t>
  </si>
  <si>
    <t>002 08 00</t>
  </si>
  <si>
    <t>020 00 00</t>
  </si>
  <si>
    <t>020 00 02</t>
  </si>
  <si>
    <t>093 99 00</t>
  </si>
  <si>
    <t>521 07 00</t>
  </si>
  <si>
    <t>218 00 00</t>
  </si>
  <si>
    <t>218 01 00</t>
  </si>
  <si>
    <t>610 01 00</t>
  </si>
  <si>
    <t>485 97 00</t>
  </si>
  <si>
    <t>100 11 00</t>
  </si>
  <si>
    <t>100 11 05</t>
  </si>
  <si>
    <t>505 33 00</t>
  </si>
  <si>
    <t>522 00 00</t>
  </si>
  <si>
    <t>457 00 00</t>
  </si>
  <si>
    <t>516 00 00</t>
  </si>
  <si>
    <t>516 01 03</t>
  </si>
  <si>
    <t>441 99 00</t>
  </si>
  <si>
    <t>Средства на реализацию Закона Ульяновской областиот29.05.2012 № 65-ЗО "Об организации оздоровления работников бюджетной сферы на территории Ульяновской области"</t>
  </si>
  <si>
    <t>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</si>
  <si>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518 00 00</t>
  </si>
  <si>
    <t>Пособия и компенсация гражданам и иные соц.выплаты, кроме публичных нормативных обязательств</t>
  </si>
  <si>
    <t>Межбюджетные трансферты бюджетам субъектов  Российской Федерации  и муниципальных образований общего характера</t>
  </si>
  <si>
    <t>522 21 00</t>
  </si>
  <si>
    <t>Субсидии на осуществление мероприятий по обеспечению жильем  граждан, проживающих и работающих в сельской местности</t>
  </si>
  <si>
    <t>Расходы по муниципальной программе развития малого и среднего предпринимательства</t>
  </si>
  <si>
    <t>Уточненные бюджетные ассигнования на 2013 год</t>
  </si>
  <si>
    <t>810</t>
  </si>
  <si>
    <t>Судсидии,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</si>
  <si>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Меры социальной поддержки населения по публичным нормативным обязательствам</t>
  </si>
  <si>
    <t>314</t>
  </si>
  <si>
    <t>345 01 00</t>
  </si>
  <si>
    <t>351 05 00</t>
  </si>
  <si>
    <t>Субсидии на софинансирование мероприятий по улучшению жилищных условий граждан,проживающих в сельской местности</t>
  </si>
  <si>
    <t>100 11 99</t>
  </si>
  <si>
    <t>Пособия и компенсация гражданам и иные  выплаты, кроме публичных нормативных обязательств</t>
  </si>
  <si>
    <t>Средства,передаваемые для компенсации дополнительных расходов,возникших в результате решений,принятых органами власти другого уровня</t>
  </si>
  <si>
    <t>520 15 00</t>
  </si>
  <si>
    <t>Субсидии по ОЦП "Развитие системы дорожного хозяйства Ульяновской области"</t>
  </si>
  <si>
    <t>522 75 00</t>
  </si>
  <si>
    <t xml:space="preserve">Школы-детские сады, школы начальние, неполные средние </t>
  </si>
  <si>
    <t>Оплата труда приемным родителям</t>
  </si>
  <si>
    <t>Наименование</t>
  </si>
  <si>
    <t xml:space="preserve">Субсидии бюджетам поселений и городских округов Ульяновской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Ульяновской области </t>
  </si>
  <si>
    <t>528 00 00</t>
  </si>
  <si>
    <t>Субсидии бюджетным учреждениям на иные цели</t>
  </si>
  <si>
    <t>612</t>
  </si>
  <si>
    <t>Дорожное хозяйство (дорожные фонды)</t>
  </si>
  <si>
    <t>муниципального образования «Павловский район»</t>
  </si>
  <si>
    <t>Учреждения культуры и мероприятия в сфере культуры и кинематографии</t>
  </si>
  <si>
    <t>442 00 00</t>
  </si>
  <si>
    <t xml:space="preserve">В т.ч субсидии на осуществление мероприятий по обеспечению жильем молодых семей и молодых специалистов, проживающих  в сельской местности, местный бюджет </t>
  </si>
  <si>
    <t>436 21 00</t>
  </si>
  <si>
    <t>436 00 00</t>
  </si>
  <si>
    <t>Мероприятия в области образования</t>
  </si>
  <si>
    <t>Модернизация региональных систем общего образования</t>
  </si>
  <si>
    <t>Оздоровление детей,находящихся в трудной жизненной ситуации</t>
  </si>
  <si>
    <t>4320200</t>
  </si>
  <si>
    <t>ПРИЛОЖЕНИЕ №3</t>
  </si>
  <si>
    <t xml:space="preserve">             к Постановлению администрации</t>
  </si>
  <si>
    <t>№                      от</t>
  </si>
  <si>
    <t xml:space="preserve"> Расходы бюджета муниципального образования  "Павловский район" за 9 месяцев 2013 года в соответствии с ведомственной структурой расходов бюджета  муниципального образования на 2013 год. </t>
  </si>
  <si>
    <t>Исполнено на 01.10.2013г.</t>
  </si>
  <si>
    <t>% исполнения</t>
  </si>
  <si>
    <t>Субсидии на софинансирование капитальных вложений в объекты государственной(муниципальной) собственности</t>
  </si>
  <si>
    <t>522 90 01</t>
  </si>
  <si>
    <t>522</t>
  </si>
  <si>
    <t>001</t>
  </si>
  <si>
    <t>002</t>
  </si>
  <si>
    <t>432 99 00</t>
  </si>
  <si>
    <t>ассигн.18,7</t>
  </si>
  <si>
    <t>ассигн932</t>
  </si>
  <si>
    <t>432 02 00</t>
  </si>
  <si>
    <t>440 09 00</t>
  </si>
  <si>
    <t>Подключение общедоступных библиотек Российской Федерации к сети Интернет</t>
  </si>
  <si>
    <t xml:space="preserve">             к Решению Совета Депутатов</t>
  </si>
  <si>
    <t>436 95 00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</si>
  <si>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обеспечение дополнительного образования в муниципальных общеобразовательных учреждениях </t>
  </si>
  <si>
    <t>Субсидии по развитию водоснабжения в сельской местности по ФЦП "Развитие села до 2013 года"</t>
  </si>
  <si>
    <t>522 98  00</t>
  </si>
  <si>
    <t>Субсидии на софинансирование объектов капитального строительства государственной (муниципальной) собственности</t>
  </si>
  <si>
    <t>Исполнение за 2013 год</t>
  </si>
  <si>
    <t>Расходы по муниципальной  программе занятости населения Павловского района на 2011-2013 годы</t>
  </si>
  <si>
    <t>Расходы по муниципальной программе "Молодежь Павловского района"</t>
  </si>
  <si>
    <t>Отдел  по делам культуры и организации досуга населения  администрации муниципального образования "Павловский район"</t>
  </si>
  <si>
    <t>Расходы по муниципальной программе "Повышение эффективности бюджетных расходов"</t>
  </si>
  <si>
    <t xml:space="preserve"> Расходы бюджета муниципального образования «Павловский район» за 2013 год  в соответствии с ведомственной структурой расходов бюджета  муниципального образования «Павловский район»</t>
  </si>
  <si>
    <t xml:space="preserve"> № 54  от 28.04.2014г.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</si>
</sst>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8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9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i/>
      <sz val="10"/>
      <color indexed="8"/>
      <name val="Arial Cyr"/>
      <family val="0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i/>
      <sz val="14"/>
      <name val="Times New Roman"/>
      <family val="1"/>
    </font>
    <font>
      <sz val="9"/>
      <color indexed="8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4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left" vertical="justify"/>
    </xf>
    <xf numFmtId="0" fontId="10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166" fontId="3" fillId="33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0" fillId="0" borderId="0" xfId="0" applyFont="1" applyAlignment="1">
      <alignment horizontal="justify"/>
    </xf>
    <xf numFmtId="0" fontId="15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2" xfId="0" applyNumberForma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right"/>
    </xf>
    <xf numFmtId="0" fontId="14" fillId="33" borderId="10" xfId="0" applyFont="1" applyFill="1" applyBorder="1" applyAlignment="1">
      <alignment horizontal="left" vertical="justify"/>
    </xf>
    <xf numFmtId="0" fontId="18" fillId="33" borderId="10" xfId="0" applyFont="1" applyFill="1" applyBorder="1" applyAlignment="1">
      <alignment horizontal="left" vertical="justify"/>
    </xf>
    <xf numFmtId="0" fontId="1" fillId="33" borderId="11" xfId="0" applyFont="1" applyFill="1" applyBorder="1" applyAlignment="1">
      <alignment horizontal="right"/>
    </xf>
    <xf numFmtId="49" fontId="0" fillId="0" borderId="13" xfId="0" applyNumberForma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166" fontId="22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right"/>
    </xf>
    <xf numFmtId="166" fontId="1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66" fontId="22" fillId="33" borderId="11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66" fontId="6" fillId="33" borderId="11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15" fillId="33" borderId="14" xfId="0" applyNumberFormat="1" applyFont="1" applyFill="1" applyBorder="1" applyAlignment="1">
      <alignment horizontal="right"/>
    </xf>
    <xf numFmtId="166" fontId="15" fillId="0" borderId="10" xfId="0" applyNumberFormat="1" applyFont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49" fontId="15" fillId="33" borderId="13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2" fontId="15" fillId="33" borderId="10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49" fontId="15" fillId="0" borderId="13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4" fillId="0" borderId="10" xfId="0" applyNumberFormat="1" applyFont="1" applyFill="1" applyBorder="1" applyAlignment="1">
      <alignment horizontal="right"/>
    </xf>
    <xf numFmtId="166" fontId="18" fillId="0" borderId="10" xfId="0" applyNumberFormat="1" applyFont="1" applyFill="1" applyBorder="1" applyAlignment="1">
      <alignment horizontal="right"/>
    </xf>
    <xf numFmtId="166" fontId="14" fillId="33" borderId="10" xfId="0" applyNumberFormat="1" applyFont="1" applyFill="1" applyBorder="1" applyAlignment="1">
      <alignment horizontal="right"/>
    </xf>
    <xf numFmtId="166" fontId="18" fillId="33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14" fillId="0" borderId="10" xfId="0" applyNumberFormat="1" applyFont="1" applyFill="1" applyBorder="1" applyAlignment="1">
      <alignment horizontal="right"/>
    </xf>
    <xf numFmtId="171" fontId="14" fillId="33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wrapText="1"/>
    </xf>
    <xf numFmtId="49" fontId="28" fillId="33" borderId="10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49" fontId="28" fillId="33" borderId="14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right"/>
    </xf>
    <xf numFmtId="49" fontId="28" fillId="33" borderId="11" xfId="0" applyNumberFormat="1" applyFont="1" applyFill="1" applyBorder="1" applyAlignment="1">
      <alignment horizontal="right"/>
    </xf>
    <xf numFmtId="49" fontId="15" fillId="33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19" fillId="0" borderId="11" xfId="57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49" fontId="0" fillId="0" borderId="11" xfId="57" applyNumberFormat="1" applyFont="1" applyFill="1" applyBorder="1" applyAlignment="1">
      <alignment horizontal="right"/>
    </xf>
    <xf numFmtId="49" fontId="13" fillId="0" borderId="11" xfId="57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31" fillId="0" borderId="10" xfId="0" applyFont="1" applyBorder="1" applyAlignment="1">
      <alignment horizontal="left" vertical="justify"/>
    </xf>
    <xf numFmtId="49" fontId="14" fillId="0" borderId="11" xfId="57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166" fontId="14" fillId="34" borderId="10" xfId="0" applyNumberFormat="1" applyFont="1" applyFill="1" applyBorder="1" applyAlignment="1">
      <alignment horizontal="right"/>
    </xf>
    <xf numFmtId="166" fontId="14" fillId="34" borderId="11" xfId="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5" fontId="7" fillId="34" borderId="10" xfId="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 vertical="justify"/>
    </xf>
    <xf numFmtId="49" fontId="0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left" vertical="justify" wrapText="1"/>
    </xf>
    <xf numFmtId="0" fontId="1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right"/>
    </xf>
    <xf numFmtId="49" fontId="17" fillId="33" borderId="11" xfId="0" applyNumberFormat="1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left" vertical="justify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justify" wrapText="1"/>
    </xf>
    <xf numFmtId="49" fontId="0" fillId="0" borderId="11" xfId="57" applyNumberFormat="1" applyFont="1" applyFill="1" applyBorder="1" applyAlignment="1">
      <alignment horizontal="right"/>
    </xf>
    <xf numFmtId="166" fontId="27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14" fillId="33" borderId="11" xfId="57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49" fontId="15" fillId="34" borderId="10" xfId="0" applyNumberFormat="1" applyFont="1" applyFill="1" applyBorder="1" applyAlignment="1">
      <alignment horizontal="right"/>
    </xf>
    <xf numFmtId="2" fontId="13" fillId="33" borderId="10" xfId="0" applyNumberFormat="1" applyFont="1" applyFill="1" applyBorder="1" applyAlignment="1">
      <alignment horizontal="right"/>
    </xf>
    <xf numFmtId="166" fontId="13" fillId="33" borderId="10" xfId="0" applyNumberFormat="1" applyFont="1" applyFill="1" applyBorder="1" applyAlignment="1">
      <alignment horizontal="right"/>
    </xf>
    <xf numFmtId="49" fontId="14" fillId="0" borderId="11" xfId="57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49" fontId="14" fillId="0" borderId="11" xfId="57" applyNumberFormat="1" applyFont="1" applyFill="1" applyBorder="1" applyAlignment="1">
      <alignment horizontal="right"/>
    </xf>
    <xf numFmtId="166" fontId="14" fillId="33" borderId="10" xfId="0" applyNumberFormat="1" applyFont="1" applyFill="1" applyBorder="1" applyAlignment="1">
      <alignment horizontal="right"/>
    </xf>
    <xf numFmtId="0" fontId="78" fillId="0" borderId="0" xfId="0" applyFont="1" applyAlignment="1">
      <alignment/>
    </xf>
    <xf numFmtId="49" fontId="0" fillId="0" borderId="11" xfId="0" applyNumberFormat="1" applyBorder="1" applyAlignment="1">
      <alignment horizontal="right"/>
    </xf>
    <xf numFmtId="2" fontId="22" fillId="33" borderId="11" xfId="0" applyNumberFormat="1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right"/>
    </xf>
    <xf numFmtId="166" fontId="22" fillId="0" borderId="10" xfId="0" applyNumberFormat="1" applyFont="1" applyBorder="1" applyAlignment="1">
      <alignment horizontal="right"/>
    </xf>
    <xf numFmtId="49" fontId="16" fillId="0" borderId="11" xfId="57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right"/>
    </xf>
    <xf numFmtId="49" fontId="14" fillId="33" borderId="11" xfId="57" applyNumberFormat="1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 wrapText="1"/>
    </xf>
    <xf numFmtId="2" fontId="3" fillId="34" borderId="11" xfId="0" applyNumberFormat="1" applyFont="1" applyFill="1" applyBorder="1" applyAlignment="1">
      <alignment horizontal="right"/>
    </xf>
    <xf numFmtId="49" fontId="28" fillId="34" borderId="11" xfId="0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right"/>
    </xf>
    <xf numFmtId="49" fontId="28" fillId="34" borderId="14" xfId="0" applyNumberFormat="1" applyFont="1" applyFill="1" applyBorder="1" applyAlignment="1">
      <alignment horizontal="right"/>
    </xf>
    <xf numFmtId="2" fontId="23" fillId="34" borderId="10" xfId="0" applyNumberFormat="1" applyFont="1" applyFill="1" applyBorder="1" applyAlignment="1">
      <alignment horizontal="right"/>
    </xf>
    <xf numFmtId="49" fontId="15" fillId="34" borderId="11" xfId="0" applyNumberFormat="1" applyFont="1" applyFill="1" applyBorder="1" applyAlignment="1">
      <alignment horizontal="right"/>
    </xf>
    <xf numFmtId="49" fontId="15" fillId="34" borderId="14" xfId="0" applyNumberFormat="1" applyFont="1" applyFill="1" applyBorder="1" applyAlignment="1">
      <alignment horizontal="right"/>
    </xf>
    <xf numFmtId="2" fontId="15" fillId="34" borderId="10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49" fontId="0" fillId="34" borderId="11" xfId="0" applyNumberFormat="1" applyFill="1" applyBorder="1" applyAlignment="1">
      <alignment horizontal="right"/>
    </xf>
    <xf numFmtId="166" fontId="0" fillId="34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justify" wrapText="1"/>
    </xf>
    <xf numFmtId="0" fontId="31" fillId="0" borderId="10" xfId="0" applyNumberFormat="1" applyFont="1" applyBorder="1" applyAlignment="1">
      <alignment horizontal="left" vertical="justify"/>
    </xf>
    <xf numFmtId="0" fontId="14" fillId="33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left" vertical="justify"/>
    </xf>
    <xf numFmtId="0" fontId="32" fillId="0" borderId="10" xfId="0" applyFont="1" applyBorder="1" applyAlignment="1">
      <alignment horizontal="left" vertical="justify"/>
    </xf>
    <xf numFmtId="0" fontId="33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34" fillId="33" borderId="10" xfId="0" applyFont="1" applyFill="1" applyBorder="1" applyAlignment="1">
      <alignment wrapText="1"/>
    </xf>
    <xf numFmtId="0" fontId="34" fillId="0" borderId="10" xfId="0" applyFont="1" applyBorder="1" applyAlignment="1">
      <alignment horizontal="left" vertical="justify"/>
    </xf>
    <xf numFmtId="0" fontId="31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49" fontId="1" fillId="33" borderId="14" xfId="0" applyNumberFormat="1" applyFont="1" applyFill="1" applyBorder="1" applyAlignment="1">
      <alignment horizontal="right"/>
    </xf>
    <xf numFmtId="0" fontId="35" fillId="34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vertical="justify"/>
    </xf>
    <xf numFmtId="0" fontId="11" fillId="0" borderId="10" xfId="0" applyFont="1" applyBorder="1" applyAlignment="1">
      <alignment horizontal="left" vertical="justify"/>
    </xf>
    <xf numFmtId="0" fontId="31" fillId="33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34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 vertical="justify"/>
    </xf>
    <xf numFmtId="0" fontId="14" fillId="0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/>
    </xf>
    <xf numFmtId="0" fontId="77" fillId="34" borderId="10" xfId="0" applyFont="1" applyFill="1" applyBorder="1" applyAlignment="1">
      <alignment horizontal="left" vertical="justify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left" vertical="justify"/>
    </xf>
    <xf numFmtId="0" fontId="12" fillId="33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31" fillId="33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justify"/>
    </xf>
    <xf numFmtId="0" fontId="14" fillId="33" borderId="10" xfId="0" applyFont="1" applyFill="1" applyBorder="1" applyAlignment="1">
      <alignment horizontal="right"/>
    </xf>
    <xf numFmtId="166" fontId="11" fillId="34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left" wrapText="1"/>
    </xf>
    <xf numFmtId="0" fontId="14" fillId="33" borderId="10" xfId="0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33" borderId="14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0" fillId="35" borderId="0" xfId="0" applyFill="1" applyAlignment="1">
      <alignment/>
    </xf>
    <xf numFmtId="0" fontId="3" fillId="34" borderId="11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0" fontId="79" fillId="34" borderId="10" xfId="0" applyFont="1" applyFill="1" applyBorder="1" applyAlignment="1">
      <alignment horizontal="left" vertical="justify"/>
    </xf>
    <xf numFmtId="49" fontId="80" fillId="34" borderId="10" xfId="0" applyNumberFormat="1" applyFont="1" applyFill="1" applyBorder="1" applyAlignment="1">
      <alignment horizontal="right"/>
    </xf>
    <xf numFmtId="49" fontId="14" fillId="34" borderId="11" xfId="57" applyNumberFormat="1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horizontal="right"/>
    </xf>
    <xf numFmtId="0" fontId="77" fillId="34" borderId="10" xfId="0" applyFont="1" applyFill="1" applyBorder="1" applyAlignment="1">
      <alignment/>
    </xf>
    <xf numFmtId="0" fontId="37" fillId="34" borderId="10" xfId="0" applyFont="1" applyFill="1" applyBorder="1" applyAlignment="1">
      <alignment horizontal="left" vertical="justify"/>
    </xf>
    <xf numFmtId="49" fontId="5" fillId="34" borderId="11" xfId="0" applyNumberFormat="1" applyFont="1" applyFill="1" applyBorder="1" applyAlignment="1">
      <alignment horizontal="right"/>
    </xf>
    <xf numFmtId="49" fontId="26" fillId="34" borderId="10" xfId="0" applyNumberFormat="1" applyFont="1" applyFill="1" applyBorder="1" applyAlignment="1">
      <alignment horizontal="right"/>
    </xf>
    <xf numFmtId="171" fontId="36" fillId="34" borderId="10" xfId="0" applyNumberFormat="1" applyFont="1" applyFill="1" applyBorder="1" applyAlignment="1">
      <alignment horizontal="right"/>
    </xf>
    <xf numFmtId="183" fontId="11" fillId="34" borderId="10" xfId="0" applyNumberFormat="1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 horizontal="center"/>
    </xf>
    <xf numFmtId="183" fontId="10" fillId="0" borderId="10" xfId="0" applyNumberFormat="1" applyFont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83" fontId="10" fillId="34" borderId="11" xfId="0" applyNumberFormat="1" applyFont="1" applyFill="1" applyBorder="1" applyAlignment="1">
      <alignment horizontal="center"/>
    </xf>
    <xf numFmtId="183" fontId="11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 horizontal="center"/>
    </xf>
    <xf numFmtId="183" fontId="10" fillId="34" borderId="10" xfId="0" applyNumberFormat="1" applyFont="1" applyFill="1" applyBorder="1" applyAlignment="1">
      <alignment horizontal="center"/>
    </xf>
    <xf numFmtId="183" fontId="12" fillId="34" borderId="10" xfId="0" applyNumberFormat="1" applyFont="1" applyFill="1" applyBorder="1" applyAlignment="1">
      <alignment horizontal="center"/>
    </xf>
    <xf numFmtId="183" fontId="11" fillId="0" borderId="10" xfId="0" applyNumberFormat="1" applyFont="1" applyFill="1" applyBorder="1" applyAlignment="1">
      <alignment horizontal="center"/>
    </xf>
    <xf numFmtId="183" fontId="30" fillId="34" borderId="10" xfId="0" applyNumberFormat="1" applyFont="1" applyFill="1" applyBorder="1" applyAlignment="1">
      <alignment horizontal="center"/>
    </xf>
    <xf numFmtId="183" fontId="38" fillId="34" borderId="10" xfId="0" applyNumberFormat="1" applyFont="1" applyFill="1" applyBorder="1" applyAlignment="1">
      <alignment horizontal="center"/>
    </xf>
    <xf numFmtId="183" fontId="0" fillId="0" borderId="0" xfId="0" applyNumberFormat="1" applyAlignment="1">
      <alignment horizontal="center"/>
    </xf>
    <xf numFmtId="183" fontId="0" fillId="0" borderId="10" xfId="0" applyNumberFormat="1" applyBorder="1" applyAlignment="1">
      <alignment horizontal="center" vertical="center"/>
    </xf>
    <xf numFmtId="183" fontId="29" fillId="0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0" fontId="81" fillId="0" borderId="10" xfId="0" applyFont="1" applyBorder="1" applyAlignment="1">
      <alignment horizontal="left" vertical="justify"/>
    </xf>
    <xf numFmtId="49" fontId="18" fillId="0" borderId="11" xfId="57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right"/>
    </xf>
    <xf numFmtId="166" fontId="18" fillId="34" borderId="11" xfId="0" applyNumberFormat="1" applyFont="1" applyFill="1" applyBorder="1" applyAlignment="1">
      <alignment horizontal="right"/>
    </xf>
    <xf numFmtId="183" fontId="11" fillId="34" borderId="11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right"/>
    </xf>
    <xf numFmtId="166" fontId="22" fillId="0" borderId="11" xfId="0" applyNumberFormat="1" applyFont="1" applyBorder="1" applyAlignment="1">
      <alignment horizontal="right"/>
    </xf>
    <xf numFmtId="0" fontId="18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49" fontId="9" fillId="34" borderId="11" xfId="0" applyNumberFormat="1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0" fontId="18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49" fontId="16" fillId="0" borderId="11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166" fontId="10" fillId="0" borderId="10" xfId="0" applyNumberFormat="1" applyFont="1" applyFill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10" fillId="33" borderId="10" xfId="0" applyFont="1" applyFill="1" applyBorder="1" applyAlignment="1">
      <alignment wrapText="1"/>
    </xf>
    <xf numFmtId="0" fontId="79" fillId="0" borderId="10" xfId="0" applyFont="1" applyBorder="1" applyAlignment="1">
      <alignment horizontal="left" vertical="justify"/>
    </xf>
    <xf numFmtId="49" fontId="14" fillId="33" borderId="11" xfId="0" applyNumberFormat="1" applyFont="1" applyFill="1" applyBorder="1" applyAlignment="1">
      <alignment horizontal="right"/>
    </xf>
    <xf numFmtId="0" fontId="39" fillId="0" borderId="10" xfId="0" applyFont="1" applyBorder="1" applyAlignment="1">
      <alignment horizontal="left" vertical="justify"/>
    </xf>
    <xf numFmtId="0" fontId="16" fillId="0" borderId="10" xfId="0" applyFont="1" applyFill="1" applyBorder="1" applyAlignment="1">
      <alignment wrapText="1"/>
    </xf>
    <xf numFmtId="0" fontId="37" fillId="34" borderId="0" xfId="0" applyFont="1" applyFill="1" applyBorder="1" applyAlignment="1">
      <alignment horizontal="left" vertical="justify"/>
    </xf>
    <xf numFmtId="49" fontId="5" fillId="34" borderId="0" xfId="0" applyNumberFormat="1" applyFont="1" applyFill="1" applyBorder="1" applyAlignment="1">
      <alignment horizontal="right"/>
    </xf>
    <xf numFmtId="49" fontId="26" fillId="34" borderId="0" xfId="0" applyNumberFormat="1" applyFont="1" applyFill="1" applyBorder="1" applyAlignment="1">
      <alignment horizontal="right"/>
    </xf>
    <xf numFmtId="171" fontId="36" fillId="34" borderId="0" xfId="0" applyNumberFormat="1" applyFont="1" applyFill="1" applyBorder="1" applyAlignment="1">
      <alignment horizontal="right"/>
    </xf>
    <xf numFmtId="183" fontId="38" fillId="34" borderId="0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 horizontal="center"/>
    </xf>
    <xf numFmtId="166" fontId="10" fillId="34" borderId="11" xfId="0" applyNumberFormat="1" applyFont="1" applyFill="1" applyBorder="1" applyAlignment="1">
      <alignment horizontal="center"/>
    </xf>
    <xf numFmtId="166" fontId="10" fillId="35" borderId="11" xfId="0" applyNumberFormat="1" applyFont="1" applyFill="1" applyBorder="1" applyAlignment="1">
      <alignment horizontal="center"/>
    </xf>
    <xf numFmtId="166" fontId="12" fillId="0" borderId="10" xfId="0" applyNumberFormat="1" applyFont="1" applyBorder="1" applyAlignment="1">
      <alignment horizontal="center"/>
    </xf>
    <xf numFmtId="166" fontId="10" fillId="34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right"/>
    </xf>
    <xf numFmtId="0" fontId="14" fillId="36" borderId="10" xfId="0" applyFont="1" applyFill="1" applyBorder="1" applyAlignment="1">
      <alignment wrapText="1"/>
    </xf>
    <xf numFmtId="0" fontId="0" fillId="36" borderId="11" xfId="0" applyFont="1" applyFill="1" applyBorder="1" applyAlignment="1">
      <alignment horizontal="right" wrapText="1"/>
    </xf>
    <xf numFmtId="49" fontId="0" fillId="36" borderId="10" xfId="0" applyNumberFormat="1" applyFont="1" applyFill="1" applyBorder="1" applyAlignment="1">
      <alignment horizontal="right"/>
    </xf>
    <xf numFmtId="49" fontId="0" fillId="36" borderId="14" xfId="0" applyNumberFormat="1" applyFont="1" applyFill="1" applyBorder="1" applyAlignment="1">
      <alignment horizontal="right"/>
    </xf>
    <xf numFmtId="2" fontId="0" fillId="36" borderId="10" xfId="0" applyNumberFormat="1" applyFont="1" applyFill="1" applyBorder="1" applyAlignment="1">
      <alignment horizontal="right"/>
    </xf>
    <xf numFmtId="183" fontId="10" fillId="36" borderId="10" xfId="0" applyNumberFormat="1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 horizontal="center"/>
    </xf>
    <xf numFmtId="166" fontId="17" fillId="0" borderId="10" xfId="0" applyNumberFormat="1" applyFont="1" applyBorder="1" applyAlignment="1">
      <alignment horizontal="center"/>
    </xf>
    <xf numFmtId="166" fontId="17" fillId="0" borderId="10" xfId="0" applyNumberFormat="1" applyFont="1" applyFill="1" applyBorder="1" applyAlignment="1">
      <alignment horizontal="center"/>
    </xf>
    <xf numFmtId="49" fontId="14" fillId="36" borderId="11" xfId="57" applyNumberFormat="1" applyFont="1" applyFill="1" applyBorder="1" applyAlignment="1">
      <alignment horizontal="right"/>
    </xf>
    <xf numFmtId="49" fontId="14" fillId="36" borderId="10" xfId="0" applyNumberFormat="1" applyFont="1" applyFill="1" applyBorder="1" applyAlignment="1">
      <alignment horizontal="right"/>
    </xf>
    <xf numFmtId="166" fontId="14" fillId="36" borderId="10" xfId="0" applyNumberFormat="1" applyFont="1" applyFill="1" applyBorder="1" applyAlignment="1">
      <alignment horizontal="right"/>
    </xf>
    <xf numFmtId="0" fontId="31" fillId="36" borderId="10" xfId="0" applyFont="1" applyFill="1" applyBorder="1" applyAlignment="1">
      <alignment horizontal="left" vertical="justify"/>
    </xf>
    <xf numFmtId="166" fontId="10" fillId="36" borderId="10" xfId="0" applyNumberFormat="1" applyFont="1" applyFill="1" applyBorder="1" applyAlignment="1">
      <alignment horizontal="center"/>
    </xf>
    <xf numFmtId="183" fontId="82" fillId="34" borderId="10" xfId="0" applyNumberFormat="1" applyFont="1" applyFill="1" applyBorder="1" applyAlignment="1">
      <alignment horizontal="center"/>
    </xf>
    <xf numFmtId="166" fontId="82" fillId="33" borderId="10" xfId="0" applyNumberFormat="1" applyFont="1" applyFill="1" applyBorder="1" applyAlignment="1">
      <alignment horizontal="center"/>
    </xf>
    <xf numFmtId="183" fontId="82" fillId="33" borderId="10" xfId="0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right"/>
    </xf>
    <xf numFmtId="49" fontId="14" fillId="34" borderId="11" xfId="57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79" fillId="0" borderId="10" xfId="0" applyFont="1" applyBorder="1" applyAlignment="1">
      <alignment horizontal="left"/>
    </xf>
    <xf numFmtId="49" fontId="18" fillId="33" borderId="11" xfId="0" applyNumberFormat="1" applyFont="1" applyFill="1" applyBorder="1" applyAlignment="1">
      <alignment horizontal="right"/>
    </xf>
    <xf numFmtId="49" fontId="18" fillId="34" borderId="11" xfId="0" applyNumberFormat="1" applyFont="1" applyFill="1" applyBorder="1" applyAlignment="1">
      <alignment horizontal="right"/>
    </xf>
    <xf numFmtId="49" fontId="18" fillId="0" borderId="11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right"/>
    </xf>
    <xf numFmtId="0" fontId="14" fillId="33" borderId="11" xfId="0" applyFont="1" applyFill="1" applyBorder="1" applyAlignment="1">
      <alignment horizontal="right"/>
    </xf>
    <xf numFmtId="49" fontId="18" fillId="0" borderId="11" xfId="57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right"/>
    </xf>
    <xf numFmtId="49" fontId="18" fillId="0" borderId="11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right"/>
    </xf>
    <xf numFmtId="49" fontId="31" fillId="34" borderId="10" xfId="0" applyNumberFormat="1" applyFont="1" applyFill="1" applyBorder="1" applyAlignment="1">
      <alignment horizontal="right"/>
    </xf>
    <xf numFmtId="49" fontId="18" fillId="34" borderId="10" xfId="0" applyNumberFormat="1" applyFont="1" applyFill="1" applyBorder="1" applyAlignment="1">
      <alignment horizontal="right"/>
    </xf>
    <xf numFmtId="49" fontId="14" fillId="34" borderId="11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right"/>
    </xf>
    <xf numFmtId="49" fontId="18" fillId="33" borderId="10" xfId="0" applyNumberFormat="1" applyFont="1" applyFill="1" applyBorder="1" applyAlignment="1">
      <alignment horizontal="right"/>
    </xf>
    <xf numFmtId="166" fontId="18" fillId="0" borderId="10" xfId="0" applyNumberFormat="1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35" fillId="0" borderId="10" xfId="0" applyNumberFormat="1" applyFont="1" applyBorder="1" applyAlignment="1">
      <alignment horizontal="left" vertical="justify"/>
    </xf>
    <xf numFmtId="49" fontId="19" fillId="0" borderId="10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justify"/>
    </xf>
    <xf numFmtId="0" fontId="1" fillId="34" borderId="11" xfId="0" applyFont="1" applyFill="1" applyBorder="1" applyAlignment="1">
      <alignment horizontal="right" wrapText="1"/>
    </xf>
    <xf numFmtId="49" fontId="1" fillId="34" borderId="14" xfId="0" applyNumberFormat="1" applyFont="1" applyFill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33" borderId="11" xfId="0" applyNumberFormat="1" applyFont="1" applyFill="1" applyBorder="1" applyAlignment="1">
      <alignment horizontal="right"/>
    </xf>
    <xf numFmtId="166" fontId="40" fillId="33" borderId="11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166" fontId="30" fillId="0" borderId="10" xfId="0" applyNumberFormat="1" applyFont="1" applyBorder="1" applyAlignment="1">
      <alignment horizontal="center"/>
    </xf>
    <xf numFmtId="166" fontId="12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166" fontId="11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0" borderId="16" xfId="0" applyNumberFormat="1" applyFont="1" applyBorder="1" applyAlignment="1">
      <alignment horizontal="center" vertical="justify"/>
    </xf>
    <xf numFmtId="49" fontId="1" fillId="0" borderId="17" xfId="0" applyNumberFormat="1" applyFont="1" applyBorder="1" applyAlignment="1">
      <alignment horizontal="center" vertical="justify"/>
    </xf>
    <xf numFmtId="49" fontId="1" fillId="0" borderId="13" xfId="0" applyNumberFormat="1" applyFont="1" applyBorder="1" applyAlignment="1">
      <alignment horizontal="center" vertical="justify"/>
    </xf>
    <xf numFmtId="183" fontId="1" fillId="0" borderId="16" xfId="0" applyNumberFormat="1" applyFont="1" applyBorder="1" applyAlignment="1">
      <alignment horizontal="center" vertical="justify"/>
    </xf>
    <xf numFmtId="183" fontId="1" fillId="0" borderId="13" xfId="0" applyNumberFormat="1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2"/>
  <sheetViews>
    <sheetView view="pageBreakPreview" zoomScaleNormal="85" zoomScaleSheetLayoutView="100" zoomScalePageLayoutView="0" workbookViewId="0" topLeftCell="A105">
      <selection activeCell="J59" sqref="J59"/>
    </sheetView>
  </sheetViews>
  <sheetFormatPr defaultColWidth="9.00390625" defaultRowHeight="12.75"/>
  <cols>
    <col min="1" max="1" width="38.375" style="0" customWidth="1"/>
    <col min="2" max="2" width="4.625" style="2" customWidth="1"/>
    <col min="3" max="3" width="4.75390625" style="2" customWidth="1"/>
    <col min="4" max="4" width="4.875" style="2" customWidth="1"/>
    <col min="5" max="5" width="8.75390625" style="2" customWidth="1"/>
    <col min="6" max="6" width="5.625" style="2" customWidth="1"/>
    <col min="7" max="8" width="12.875" style="2" hidden="1" customWidth="1"/>
    <col min="9" max="10" width="12.875" style="2" customWidth="1"/>
    <col min="11" max="11" width="9.875" style="275" customWidth="1"/>
    <col min="12" max="13" width="9.125" style="0" hidden="1" customWidth="1"/>
    <col min="14" max="14" width="10.125" style="0" hidden="1" customWidth="1"/>
    <col min="15" max="18" width="9.125" style="0" hidden="1" customWidth="1"/>
  </cols>
  <sheetData>
    <row r="1" spans="3:11" ht="21" customHeight="1">
      <c r="C1" s="381" t="s">
        <v>302</v>
      </c>
      <c r="D1" s="381"/>
      <c r="E1" s="381"/>
      <c r="F1" s="381"/>
      <c r="G1" s="381"/>
      <c r="H1" s="381"/>
      <c r="I1" s="381"/>
      <c r="J1" s="381"/>
      <c r="K1" s="381"/>
    </row>
    <row r="2" spans="1:11" ht="17.25" customHeight="1">
      <c r="A2" s="381" t="s">
        <v>303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ht="12.75" customHeight="1">
      <c r="A3" s="383" t="s">
        <v>292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2:11" ht="12.75" customHeight="1">
      <c r="B4" s="384" t="s">
        <v>304</v>
      </c>
      <c r="C4" s="384"/>
      <c r="D4" s="384"/>
      <c r="E4" s="384"/>
      <c r="F4" s="384"/>
      <c r="G4" s="384"/>
      <c r="H4" s="384"/>
      <c r="I4" s="384"/>
      <c r="J4" s="384"/>
      <c r="K4" s="384"/>
    </row>
    <row r="5" spans="2:11" ht="20.25" customHeight="1"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2:11" ht="12.75" hidden="1">
      <c r="B6" s="384"/>
      <c r="C6" s="384"/>
      <c r="D6" s="384"/>
      <c r="E6" s="384"/>
      <c r="F6" s="384"/>
      <c r="G6" s="384"/>
      <c r="H6" s="384"/>
      <c r="I6" s="384"/>
      <c r="J6" s="384"/>
      <c r="K6" s="384"/>
    </row>
    <row r="7" spans="2:11" ht="14.25" customHeight="1" hidden="1">
      <c r="B7" s="384"/>
      <c r="C7" s="384"/>
      <c r="D7" s="384"/>
      <c r="E7" s="384"/>
      <c r="F7" s="384"/>
      <c r="G7" s="384"/>
      <c r="H7" s="384"/>
      <c r="I7" s="384"/>
      <c r="J7" s="384"/>
      <c r="K7" s="384"/>
    </row>
    <row r="8" ht="12.75" hidden="1"/>
    <row r="9" spans="1:11" ht="12.75">
      <c r="A9" s="385" t="s">
        <v>305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</row>
    <row r="10" spans="1:11" ht="12.75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</row>
    <row r="11" spans="1:11" ht="32.25" customHeight="1">
      <c r="A11" s="386"/>
      <c r="B11" s="386"/>
      <c r="C11" s="386"/>
      <c r="D11" s="386"/>
      <c r="E11" s="386"/>
      <c r="F11" s="386"/>
      <c r="G11" s="386"/>
      <c r="H11" s="386"/>
      <c r="I11" s="386"/>
      <c r="J11" s="386"/>
      <c r="K11" s="386"/>
    </row>
    <row r="12" spans="1:11" ht="37.5" customHeight="1">
      <c r="A12" s="387" t="s">
        <v>286</v>
      </c>
      <c r="B12" s="390" t="s">
        <v>2</v>
      </c>
      <c r="C12" s="390" t="s">
        <v>3</v>
      </c>
      <c r="D12" s="390" t="s">
        <v>4</v>
      </c>
      <c r="E12" s="390" t="s">
        <v>5</v>
      </c>
      <c r="F12" s="390" t="s">
        <v>6</v>
      </c>
      <c r="G12" s="396" t="s">
        <v>112</v>
      </c>
      <c r="H12" s="396" t="s">
        <v>113</v>
      </c>
      <c r="I12" s="399" t="s">
        <v>270</v>
      </c>
      <c r="J12" s="396" t="s">
        <v>306</v>
      </c>
      <c r="K12" s="399" t="s">
        <v>307</v>
      </c>
    </row>
    <row r="13" spans="1:11" ht="36" customHeight="1">
      <c r="A13" s="388"/>
      <c r="B13" s="391"/>
      <c r="C13" s="391"/>
      <c r="D13" s="391"/>
      <c r="E13" s="391"/>
      <c r="F13" s="391"/>
      <c r="G13" s="397"/>
      <c r="H13" s="398"/>
      <c r="I13" s="400"/>
      <c r="J13" s="398"/>
      <c r="K13" s="400"/>
    </row>
    <row r="14" spans="1:11" ht="4.5" customHeight="1" hidden="1">
      <c r="A14" s="389"/>
      <c r="B14" s="392"/>
      <c r="C14" s="392"/>
      <c r="D14" s="392"/>
      <c r="E14" s="392"/>
      <c r="F14" s="392"/>
      <c r="G14" s="19"/>
      <c r="H14" s="19"/>
      <c r="I14" s="19"/>
      <c r="J14" s="19"/>
      <c r="K14" s="276"/>
    </row>
    <row r="15" spans="1:11" ht="34.5" customHeight="1">
      <c r="A15" s="205" t="s">
        <v>105</v>
      </c>
      <c r="B15" s="129" t="s">
        <v>49</v>
      </c>
      <c r="C15" s="130" t="s">
        <v>16</v>
      </c>
      <c r="D15" s="130" t="s">
        <v>16</v>
      </c>
      <c r="E15" s="130" t="s">
        <v>29</v>
      </c>
      <c r="F15" s="130" t="s">
        <v>7</v>
      </c>
      <c r="G15" s="132" t="e">
        <f>G16+G71+#REF!+G107+G80+#REF!+#REF!+#REF!</f>
        <v>#REF!</v>
      </c>
      <c r="H15" s="132" t="e">
        <f>H16+H71+H80+#REF!+#REF!+#REF!+H107</f>
        <v>#REF!</v>
      </c>
      <c r="I15" s="263">
        <f>I16+I71+I80+I107+I103+I99+I132+I92</f>
        <v>25347.437</v>
      </c>
      <c r="J15" s="263">
        <f>J16+J71+J80+J107+J103+J99+J132+J92</f>
        <v>21397.100000000006</v>
      </c>
      <c r="K15" s="263">
        <f>J15/I15*100</f>
        <v>84.41524087820005</v>
      </c>
    </row>
    <row r="16" spans="1:11" ht="21.75" customHeight="1">
      <c r="A16" s="17" t="s">
        <v>17</v>
      </c>
      <c r="B16" s="102" t="s">
        <v>49</v>
      </c>
      <c r="C16" s="21" t="s">
        <v>8</v>
      </c>
      <c r="D16" s="21" t="s">
        <v>16</v>
      </c>
      <c r="E16" s="21" t="s">
        <v>29</v>
      </c>
      <c r="F16" s="21" t="s">
        <v>7</v>
      </c>
      <c r="G16" s="20" t="e">
        <f>G17+G24+G43+G47</f>
        <v>#REF!</v>
      </c>
      <c r="H16" s="20" t="e">
        <f>H17+H24+H43+H47</f>
        <v>#REF!</v>
      </c>
      <c r="I16" s="263">
        <f>I17+I24+I43+I47+I39</f>
        <v>14273</v>
      </c>
      <c r="J16" s="263">
        <f>J17+J24+J43+J47+J39</f>
        <v>12019.5</v>
      </c>
      <c r="K16" s="263">
        <f aca="true" t="shared" si="0" ref="K16:K79">J16/I16*100</f>
        <v>84.2114481888881</v>
      </c>
    </row>
    <row r="17" spans="1:11" ht="75" customHeight="1">
      <c r="A17" s="294" t="s">
        <v>58</v>
      </c>
      <c r="B17" s="38">
        <v>503</v>
      </c>
      <c r="C17" s="29" t="s">
        <v>8</v>
      </c>
      <c r="D17" s="29" t="s">
        <v>24</v>
      </c>
      <c r="E17" s="29" t="s">
        <v>29</v>
      </c>
      <c r="F17" s="29" t="s">
        <v>7</v>
      </c>
      <c r="G17" s="22">
        <f>G18</f>
        <v>0</v>
      </c>
      <c r="H17" s="22">
        <f>H18</f>
        <v>607</v>
      </c>
      <c r="I17" s="263">
        <f>I18</f>
        <v>661</v>
      </c>
      <c r="J17" s="263">
        <f>J18</f>
        <v>540.9</v>
      </c>
      <c r="K17" s="263">
        <f t="shared" si="0"/>
        <v>81.83055975794251</v>
      </c>
    </row>
    <row r="18" spans="1:11" ht="78.75" customHeight="1">
      <c r="A18" s="295" t="s">
        <v>59</v>
      </c>
      <c r="B18" s="103">
        <v>503</v>
      </c>
      <c r="C18" s="49" t="s">
        <v>8</v>
      </c>
      <c r="D18" s="49" t="s">
        <v>24</v>
      </c>
      <c r="E18" s="49" t="s">
        <v>244</v>
      </c>
      <c r="F18" s="49" t="s">
        <v>7</v>
      </c>
      <c r="G18" s="23"/>
      <c r="H18" s="23">
        <f>H19</f>
        <v>607</v>
      </c>
      <c r="I18" s="264">
        <f>I19</f>
        <v>661</v>
      </c>
      <c r="J18" s="264">
        <f>J19</f>
        <v>540.9</v>
      </c>
      <c r="K18" s="263">
        <f t="shared" si="0"/>
        <v>81.83055975794251</v>
      </c>
    </row>
    <row r="19" spans="1:11" ht="22.5" customHeight="1">
      <c r="A19" s="204" t="s">
        <v>18</v>
      </c>
      <c r="B19" s="103">
        <v>503</v>
      </c>
      <c r="C19" s="49" t="s">
        <v>8</v>
      </c>
      <c r="D19" s="49" t="s">
        <v>24</v>
      </c>
      <c r="E19" s="49" t="s">
        <v>66</v>
      </c>
      <c r="F19" s="49" t="s">
        <v>7</v>
      </c>
      <c r="G19" s="23"/>
      <c r="H19" s="23">
        <f>H22</f>
        <v>607</v>
      </c>
      <c r="I19" s="264">
        <f>I20+I21+I22+I23</f>
        <v>661</v>
      </c>
      <c r="J19" s="264">
        <f>J20+J21+J22+J23</f>
        <v>540.9</v>
      </c>
      <c r="K19" s="263">
        <f t="shared" si="0"/>
        <v>81.83055975794251</v>
      </c>
    </row>
    <row r="20" spans="1:11" ht="24" customHeight="1">
      <c r="A20" s="212" t="s">
        <v>133</v>
      </c>
      <c r="B20" s="103">
        <v>503</v>
      </c>
      <c r="C20" s="49" t="s">
        <v>8</v>
      </c>
      <c r="D20" s="49" t="s">
        <v>24</v>
      </c>
      <c r="E20" s="49" t="s">
        <v>66</v>
      </c>
      <c r="F20" s="49" t="s">
        <v>127</v>
      </c>
      <c r="G20" s="23"/>
      <c r="H20" s="23"/>
      <c r="I20" s="264">
        <v>529</v>
      </c>
      <c r="J20" s="314">
        <v>449.4</v>
      </c>
      <c r="K20" s="263">
        <f t="shared" si="0"/>
        <v>84.95274102079394</v>
      </c>
    </row>
    <row r="21" spans="1:11" ht="33" customHeight="1">
      <c r="A21" s="121" t="s">
        <v>132</v>
      </c>
      <c r="B21" s="103">
        <v>503</v>
      </c>
      <c r="C21" s="49" t="s">
        <v>8</v>
      </c>
      <c r="D21" s="49" t="s">
        <v>24</v>
      </c>
      <c r="E21" s="49" t="s">
        <v>66</v>
      </c>
      <c r="F21" s="49" t="s">
        <v>128</v>
      </c>
      <c r="G21" s="23"/>
      <c r="H21" s="23"/>
      <c r="I21" s="264">
        <v>2</v>
      </c>
      <c r="J21" s="314">
        <v>0</v>
      </c>
      <c r="K21" s="263">
        <f t="shared" si="0"/>
        <v>0</v>
      </c>
    </row>
    <row r="22" spans="1:11" ht="30" customHeight="1">
      <c r="A22" s="121" t="s">
        <v>142</v>
      </c>
      <c r="B22" s="103">
        <v>503</v>
      </c>
      <c r="C22" s="49" t="s">
        <v>8</v>
      </c>
      <c r="D22" s="49" t="s">
        <v>24</v>
      </c>
      <c r="E22" s="49" t="s">
        <v>66</v>
      </c>
      <c r="F22" s="49" t="s">
        <v>129</v>
      </c>
      <c r="G22" s="24"/>
      <c r="H22" s="24">
        <v>607</v>
      </c>
      <c r="I22" s="264">
        <v>126</v>
      </c>
      <c r="J22" s="315">
        <v>91.5</v>
      </c>
      <c r="K22" s="263">
        <f t="shared" si="0"/>
        <v>72.61904761904762</v>
      </c>
    </row>
    <row r="23" spans="1:11" ht="36.75" customHeight="1">
      <c r="A23" s="212" t="s">
        <v>138</v>
      </c>
      <c r="B23" s="103">
        <v>503</v>
      </c>
      <c r="C23" s="49" t="s">
        <v>8</v>
      </c>
      <c r="D23" s="49" t="s">
        <v>24</v>
      </c>
      <c r="E23" s="49" t="s">
        <v>66</v>
      </c>
      <c r="F23" s="49" t="s">
        <v>137</v>
      </c>
      <c r="G23" s="24"/>
      <c r="H23" s="24"/>
      <c r="I23" s="264">
        <v>4</v>
      </c>
      <c r="J23" s="315">
        <v>0</v>
      </c>
      <c r="K23" s="263">
        <f t="shared" si="0"/>
        <v>0</v>
      </c>
    </row>
    <row r="24" spans="1:11" ht="93.75" customHeight="1">
      <c r="A24" s="208" t="s">
        <v>60</v>
      </c>
      <c r="B24" s="18">
        <v>503</v>
      </c>
      <c r="C24" s="21" t="s">
        <v>8</v>
      </c>
      <c r="D24" s="21" t="s">
        <v>15</v>
      </c>
      <c r="E24" s="21" t="s">
        <v>29</v>
      </c>
      <c r="F24" s="21" t="s">
        <v>7</v>
      </c>
      <c r="G24" s="25" t="e">
        <f>G25+G33+#REF!+#REF!+G37</f>
        <v>#REF!</v>
      </c>
      <c r="H24" s="25" t="e">
        <f>H25+H33+#REF!+#REF!+H37</f>
        <v>#REF!</v>
      </c>
      <c r="I24" s="263">
        <f>I25</f>
        <v>8243.6</v>
      </c>
      <c r="J24" s="263">
        <f>J25</f>
        <v>6704.2</v>
      </c>
      <c r="K24" s="263">
        <f t="shared" si="0"/>
        <v>81.32611965646076</v>
      </c>
    </row>
    <row r="25" spans="1:11" ht="80.25" customHeight="1">
      <c r="A25" s="204" t="s">
        <v>59</v>
      </c>
      <c r="B25" s="103">
        <v>503</v>
      </c>
      <c r="C25" s="49" t="s">
        <v>8</v>
      </c>
      <c r="D25" s="49" t="s">
        <v>15</v>
      </c>
      <c r="E25" s="49" t="s">
        <v>65</v>
      </c>
      <c r="F25" s="49" t="s">
        <v>7</v>
      </c>
      <c r="G25" s="26"/>
      <c r="H25" s="26">
        <f>H26</f>
        <v>6485</v>
      </c>
      <c r="I25" s="270">
        <f>I26+I33</f>
        <v>8243.6</v>
      </c>
      <c r="J25" s="270">
        <f>J26+J33</f>
        <v>6704.2</v>
      </c>
      <c r="K25" s="263">
        <f t="shared" si="0"/>
        <v>81.32611965646076</v>
      </c>
    </row>
    <row r="26" spans="1:11" ht="21.75" customHeight="1">
      <c r="A26" s="204" t="s">
        <v>18</v>
      </c>
      <c r="B26" s="103">
        <v>503</v>
      </c>
      <c r="C26" s="49" t="s">
        <v>8</v>
      </c>
      <c r="D26" s="49" t="s">
        <v>15</v>
      </c>
      <c r="E26" s="49" t="s">
        <v>66</v>
      </c>
      <c r="F26" s="49" t="s">
        <v>7</v>
      </c>
      <c r="G26" s="26"/>
      <c r="H26" s="26">
        <f>H31</f>
        <v>6485</v>
      </c>
      <c r="I26" s="264">
        <f>I27+I28+I29+I30+I31+I32</f>
        <v>7488.2</v>
      </c>
      <c r="J26" s="264">
        <f>J27+J28+J29+J30+J31+J32</f>
        <v>5948.8</v>
      </c>
      <c r="K26" s="263">
        <f t="shared" si="0"/>
        <v>79.44232258753773</v>
      </c>
    </row>
    <row r="27" spans="1:11" ht="25.5" customHeight="1">
      <c r="A27" s="212" t="s">
        <v>133</v>
      </c>
      <c r="B27" s="103">
        <v>503</v>
      </c>
      <c r="C27" s="49" t="s">
        <v>8</v>
      </c>
      <c r="D27" s="49" t="s">
        <v>15</v>
      </c>
      <c r="E27" s="49" t="s">
        <v>66</v>
      </c>
      <c r="F27" s="49" t="s">
        <v>127</v>
      </c>
      <c r="G27" s="26"/>
      <c r="H27" s="26"/>
      <c r="I27" s="264">
        <v>5453.6</v>
      </c>
      <c r="J27" s="314">
        <v>4689</v>
      </c>
      <c r="K27" s="263">
        <f t="shared" si="0"/>
        <v>85.97990318321843</v>
      </c>
    </row>
    <row r="28" spans="1:11" ht="39" customHeight="1">
      <c r="A28" s="121" t="s">
        <v>132</v>
      </c>
      <c r="B28" s="103">
        <v>503</v>
      </c>
      <c r="C28" s="49" t="s">
        <v>8</v>
      </c>
      <c r="D28" s="49" t="s">
        <v>15</v>
      </c>
      <c r="E28" s="49" t="s">
        <v>66</v>
      </c>
      <c r="F28" s="49" t="s">
        <v>128</v>
      </c>
      <c r="G28" s="26"/>
      <c r="H28" s="26"/>
      <c r="I28" s="264">
        <f>4-1.8</f>
        <v>2.2</v>
      </c>
      <c r="J28" s="314">
        <v>0.8</v>
      </c>
      <c r="K28" s="263">
        <f t="shared" si="0"/>
        <v>36.36363636363637</v>
      </c>
    </row>
    <row r="29" spans="1:11" ht="38.25" customHeight="1">
      <c r="A29" s="121" t="s">
        <v>142</v>
      </c>
      <c r="B29" s="103">
        <v>503</v>
      </c>
      <c r="C29" s="49" t="s">
        <v>8</v>
      </c>
      <c r="D29" s="49" t="s">
        <v>15</v>
      </c>
      <c r="E29" s="49" t="s">
        <v>66</v>
      </c>
      <c r="F29" s="49" t="s">
        <v>129</v>
      </c>
      <c r="G29" s="26"/>
      <c r="H29" s="26"/>
      <c r="I29" s="264">
        <v>1858.2</v>
      </c>
      <c r="J29" s="314">
        <v>1134</v>
      </c>
      <c r="K29" s="263">
        <f t="shared" si="0"/>
        <v>61.026800129157245</v>
      </c>
    </row>
    <row r="30" spans="1:11" ht="48" customHeight="1">
      <c r="A30" s="121" t="s">
        <v>279</v>
      </c>
      <c r="B30" s="99">
        <v>528</v>
      </c>
      <c r="C30" s="12" t="s">
        <v>8</v>
      </c>
      <c r="D30" s="100" t="s">
        <v>15</v>
      </c>
      <c r="E30" s="100" t="s">
        <v>66</v>
      </c>
      <c r="F30" s="100" t="s">
        <v>225</v>
      </c>
      <c r="G30" s="26"/>
      <c r="H30" s="26"/>
      <c r="I30" s="264">
        <v>68</v>
      </c>
      <c r="J30" s="314">
        <v>68</v>
      </c>
      <c r="K30" s="263">
        <f t="shared" si="0"/>
        <v>100</v>
      </c>
    </row>
    <row r="31" spans="1:17" ht="31.5" customHeight="1">
      <c r="A31" s="212" t="s">
        <v>131</v>
      </c>
      <c r="B31" s="103">
        <v>503</v>
      </c>
      <c r="C31" s="49" t="s">
        <v>8</v>
      </c>
      <c r="D31" s="49" t="s">
        <v>15</v>
      </c>
      <c r="E31" s="49" t="s">
        <v>66</v>
      </c>
      <c r="F31" s="49" t="s">
        <v>130</v>
      </c>
      <c r="G31" s="27"/>
      <c r="H31" s="27">
        <v>6485</v>
      </c>
      <c r="I31" s="264">
        <v>75.5</v>
      </c>
      <c r="J31" s="318">
        <v>34</v>
      </c>
      <c r="K31" s="263">
        <f t="shared" si="0"/>
        <v>45.033112582781456</v>
      </c>
      <c r="L31" s="393"/>
      <c r="M31" s="394"/>
      <c r="N31" s="394"/>
      <c r="O31" s="394"/>
      <c r="P31" s="394"/>
      <c r="Q31" s="394"/>
    </row>
    <row r="32" spans="1:17" ht="34.5" customHeight="1">
      <c r="A32" s="212" t="s">
        <v>138</v>
      </c>
      <c r="B32" s="103">
        <v>503</v>
      </c>
      <c r="C32" s="49" t="s">
        <v>8</v>
      </c>
      <c r="D32" s="49" t="s">
        <v>15</v>
      </c>
      <c r="E32" s="49" t="s">
        <v>66</v>
      </c>
      <c r="F32" s="49" t="s">
        <v>137</v>
      </c>
      <c r="G32" s="27"/>
      <c r="H32" s="27"/>
      <c r="I32" s="264">
        <f>100-69.3</f>
        <v>30.700000000000003</v>
      </c>
      <c r="J32" s="318">
        <v>23</v>
      </c>
      <c r="K32" s="263">
        <f t="shared" si="0"/>
        <v>74.91856677524429</v>
      </c>
      <c r="L32" s="138"/>
      <c r="M32" s="138"/>
      <c r="N32" s="138"/>
      <c r="O32" s="138"/>
      <c r="P32" s="138"/>
      <c r="Q32" s="138"/>
    </row>
    <row r="33" spans="1:11" ht="54.75" customHeight="1">
      <c r="A33" s="208" t="s">
        <v>61</v>
      </c>
      <c r="B33" s="103">
        <v>503</v>
      </c>
      <c r="C33" s="49" t="s">
        <v>8</v>
      </c>
      <c r="D33" s="49" t="s">
        <v>15</v>
      </c>
      <c r="E33" s="49" t="s">
        <v>245</v>
      </c>
      <c r="F33" s="49" t="s">
        <v>7</v>
      </c>
      <c r="G33" s="26"/>
      <c r="H33" s="26">
        <f>H36</f>
        <v>713</v>
      </c>
      <c r="I33" s="263">
        <f>I34+I35+I36</f>
        <v>755.4</v>
      </c>
      <c r="J33" s="263">
        <f>J34+J35+J36</f>
        <v>755.4</v>
      </c>
      <c r="K33" s="263">
        <f t="shared" si="0"/>
        <v>100</v>
      </c>
    </row>
    <row r="34" spans="1:11" ht="30.75" customHeight="1">
      <c r="A34" s="212" t="s">
        <v>133</v>
      </c>
      <c r="B34" s="103">
        <v>503</v>
      </c>
      <c r="C34" s="49" t="s">
        <v>8</v>
      </c>
      <c r="D34" s="49" t="s">
        <v>15</v>
      </c>
      <c r="E34" s="49" t="s">
        <v>245</v>
      </c>
      <c r="F34" s="49" t="s">
        <v>127</v>
      </c>
      <c r="G34" s="26"/>
      <c r="H34" s="26"/>
      <c r="I34" s="264">
        <f>697-224.5</f>
        <v>472.5</v>
      </c>
      <c r="J34" s="314">
        <v>472.5</v>
      </c>
      <c r="K34" s="263">
        <f t="shared" si="0"/>
        <v>100</v>
      </c>
    </row>
    <row r="35" spans="1:11" ht="30.75" customHeight="1">
      <c r="A35" s="121" t="s">
        <v>132</v>
      </c>
      <c r="B35" s="103">
        <v>503</v>
      </c>
      <c r="C35" s="49" t="s">
        <v>8</v>
      </c>
      <c r="D35" s="49" t="s">
        <v>15</v>
      </c>
      <c r="E35" s="49" t="s">
        <v>245</v>
      </c>
      <c r="F35" s="49" t="s">
        <v>225</v>
      </c>
      <c r="G35" s="26"/>
      <c r="H35" s="26"/>
      <c r="I35" s="264">
        <v>282.9</v>
      </c>
      <c r="J35" s="314">
        <v>282.9</v>
      </c>
      <c r="K35" s="263">
        <f t="shared" si="0"/>
        <v>100</v>
      </c>
    </row>
    <row r="36" spans="1:11" ht="30" customHeight="1" hidden="1">
      <c r="A36" s="206" t="s">
        <v>142</v>
      </c>
      <c r="B36" s="103">
        <v>503</v>
      </c>
      <c r="C36" s="49" t="s">
        <v>8</v>
      </c>
      <c r="D36" s="49" t="s">
        <v>15</v>
      </c>
      <c r="E36" s="49" t="s">
        <v>62</v>
      </c>
      <c r="F36" s="49" t="s">
        <v>129</v>
      </c>
      <c r="G36" s="26"/>
      <c r="H36" s="26">
        <v>713</v>
      </c>
      <c r="I36" s="264"/>
      <c r="J36" s="316"/>
      <c r="K36" s="263" t="e">
        <f t="shared" si="0"/>
        <v>#DIV/0!</v>
      </c>
    </row>
    <row r="37" spans="1:11" ht="0.75" customHeight="1" hidden="1">
      <c r="A37" s="16"/>
      <c r="B37" s="87"/>
      <c r="C37" s="49"/>
      <c r="D37" s="49"/>
      <c r="E37" s="49"/>
      <c r="F37" s="49"/>
      <c r="G37" s="28"/>
      <c r="H37" s="28"/>
      <c r="I37" s="263"/>
      <c r="J37" s="317"/>
      <c r="K37" s="263" t="e">
        <f t="shared" si="0"/>
        <v>#DIV/0!</v>
      </c>
    </row>
    <row r="38" spans="1:11" ht="18" customHeight="1" hidden="1">
      <c r="A38" s="207"/>
      <c r="B38" s="87"/>
      <c r="C38" s="49"/>
      <c r="D38" s="49"/>
      <c r="E38" s="49"/>
      <c r="F38" s="49"/>
      <c r="G38" s="28"/>
      <c r="H38" s="28"/>
      <c r="I38" s="264"/>
      <c r="J38" s="317"/>
      <c r="K38" s="263" t="e">
        <f t="shared" si="0"/>
        <v>#DIV/0!</v>
      </c>
    </row>
    <row r="39" spans="1:11" ht="30.75" customHeight="1">
      <c r="A39" s="208" t="s">
        <v>156</v>
      </c>
      <c r="B39" s="104">
        <v>503</v>
      </c>
      <c r="C39" s="21" t="s">
        <v>8</v>
      </c>
      <c r="D39" s="21" t="s">
        <v>11</v>
      </c>
      <c r="E39" s="21" t="s">
        <v>29</v>
      </c>
      <c r="F39" s="21" t="s">
        <v>7</v>
      </c>
      <c r="G39" s="178"/>
      <c r="H39" s="178"/>
      <c r="I39" s="263">
        <f aca="true" t="shared" si="1" ref="I39:J41">I40</f>
        <v>491.79999999999995</v>
      </c>
      <c r="J39" s="263">
        <f t="shared" si="1"/>
        <v>491.6</v>
      </c>
      <c r="K39" s="263">
        <f t="shared" si="0"/>
        <v>99.95933306222042</v>
      </c>
    </row>
    <row r="40" spans="1:11" ht="24" customHeight="1">
      <c r="A40" s="204" t="s">
        <v>155</v>
      </c>
      <c r="B40" s="87">
        <v>503</v>
      </c>
      <c r="C40" s="49" t="s">
        <v>8</v>
      </c>
      <c r="D40" s="49" t="s">
        <v>11</v>
      </c>
      <c r="E40" s="49" t="s">
        <v>246</v>
      </c>
      <c r="F40" s="49" t="s">
        <v>7</v>
      </c>
      <c r="G40" s="28"/>
      <c r="H40" s="28"/>
      <c r="I40" s="264">
        <f t="shared" si="1"/>
        <v>491.79999999999995</v>
      </c>
      <c r="J40" s="264">
        <f t="shared" si="1"/>
        <v>491.6</v>
      </c>
      <c r="K40" s="263">
        <f t="shared" si="0"/>
        <v>99.95933306222042</v>
      </c>
    </row>
    <row r="41" spans="1:11" ht="24" customHeight="1">
      <c r="A41" s="204" t="s">
        <v>154</v>
      </c>
      <c r="B41" s="87">
        <v>503</v>
      </c>
      <c r="C41" s="49" t="s">
        <v>8</v>
      </c>
      <c r="D41" s="49" t="s">
        <v>11</v>
      </c>
      <c r="E41" s="49" t="s">
        <v>247</v>
      </c>
      <c r="F41" s="49" t="s">
        <v>7</v>
      </c>
      <c r="G41" s="28"/>
      <c r="H41" s="28"/>
      <c r="I41" s="264">
        <f t="shared" si="1"/>
        <v>491.79999999999995</v>
      </c>
      <c r="J41" s="264">
        <f t="shared" si="1"/>
        <v>491.6</v>
      </c>
      <c r="K41" s="263">
        <f t="shared" si="0"/>
        <v>99.95933306222042</v>
      </c>
    </row>
    <row r="42" spans="1:16" ht="24" customHeight="1">
      <c r="A42" s="227" t="s">
        <v>240</v>
      </c>
      <c r="B42" s="187">
        <v>503</v>
      </c>
      <c r="C42" s="140" t="s">
        <v>8</v>
      </c>
      <c r="D42" s="140" t="s">
        <v>11</v>
      </c>
      <c r="E42" s="140" t="s">
        <v>247</v>
      </c>
      <c r="F42" s="140" t="s">
        <v>239</v>
      </c>
      <c r="G42" s="188"/>
      <c r="H42" s="188"/>
      <c r="I42" s="270">
        <f>686.8-195</f>
        <v>491.79999999999995</v>
      </c>
      <c r="J42" s="319">
        <v>491.6</v>
      </c>
      <c r="K42" s="263">
        <f t="shared" si="0"/>
        <v>99.95933306222042</v>
      </c>
      <c r="N42" s="395"/>
      <c r="O42" s="395"/>
      <c r="P42" s="395"/>
    </row>
    <row r="43" spans="1:11" ht="21.75" customHeight="1">
      <c r="A43" s="17" t="s">
        <v>28</v>
      </c>
      <c r="B43" s="105" t="s">
        <v>49</v>
      </c>
      <c r="C43" s="29" t="s">
        <v>8</v>
      </c>
      <c r="D43" s="30">
        <v>11</v>
      </c>
      <c r="E43" s="29" t="s">
        <v>29</v>
      </c>
      <c r="F43" s="29" t="s">
        <v>7</v>
      </c>
      <c r="G43" s="31">
        <f>G44</f>
        <v>0</v>
      </c>
      <c r="H43" s="31">
        <f>H44</f>
        <v>100</v>
      </c>
      <c r="I43" s="263">
        <f>I44</f>
        <v>15</v>
      </c>
      <c r="J43" s="263">
        <f>J44</f>
        <v>0</v>
      </c>
      <c r="K43" s="263">
        <f t="shared" si="0"/>
        <v>0</v>
      </c>
    </row>
    <row r="44" spans="1:11" ht="22.5" customHeight="1">
      <c r="A44" s="296" t="s">
        <v>28</v>
      </c>
      <c r="B44" s="106" t="s">
        <v>49</v>
      </c>
      <c r="C44" s="32" t="s">
        <v>8</v>
      </c>
      <c r="D44" s="33">
        <v>11</v>
      </c>
      <c r="E44" s="32" t="s">
        <v>31</v>
      </c>
      <c r="F44" s="32" t="s">
        <v>7</v>
      </c>
      <c r="G44" s="34"/>
      <c r="H44" s="34">
        <f>H45</f>
        <v>100</v>
      </c>
      <c r="I44" s="264">
        <f>I45</f>
        <v>15</v>
      </c>
      <c r="J44" s="319">
        <v>0</v>
      </c>
      <c r="K44" s="263">
        <f t="shared" si="0"/>
        <v>0</v>
      </c>
    </row>
    <row r="45" spans="1:11" ht="28.5" customHeight="1">
      <c r="A45" s="204" t="s">
        <v>86</v>
      </c>
      <c r="B45" s="37">
        <v>503</v>
      </c>
      <c r="C45" s="32" t="s">
        <v>8</v>
      </c>
      <c r="D45" s="33">
        <v>11</v>
      </c>
      <c r="E45" s="91" t="s">
        <v>103</v>
      </c>
      <c r="F45" s="32" t="s">
        <v>7</v>
      </c>
      <c r="G45" s="34"/>
      <c r="H45" s="34">
        <f>H46</f>
        <v>100</v>
      </c>
      <c r="I45" s="264">
        <f>I46</f>
        <v>15</v>
      </c>
      <c r="J45" s="319">
        <v>0</v>
      </c>
      <c r="K45" s="263">
        <f t="shared" si="0"/>
        <v>0</v>
      </c>
    </row>
    <row r="46" spans="1:11" ht="23.25" customHeight="1">
      <c r="A46" s="204" t="s">
        <v>146</v>
      </c>
      <c r="B46" s="37">
        <v>503</v>
      </c>
      <c r="C46" s="32" t="s">
        <v>8</v>
      </c>
      <c r="D46" s="32" t="s">
        <v>42</v>
      </c>
      <c r="E46" s="32" t="s">
        <v>103</v>
      </c>
      <c r="F46" s="98" t="s">
        <v>134</v>
      </c>
      <c r="G46" s="36"/>
      <c r="H46" s="36">
        <v>100</v>
      </c>
      <c r="I46" s="264">
        <f>20-5</f>
        <v>15</v>
      </c>
      <c r="J46" s="319">
        <v>0</v>
      </c>
      <c r="K46" s="263">
        <f t="shared" si="0"/>
        <v>0</v>
      </c>
    </row>
    <row r="47" spans="1:11" ht="30" customHeight="1">
      <c r="A47" s="208" t="s">
        <v>19</v>
      </c>
      <c r="B47" s="38">
        <v>503</v>
      </c>
      <c r="C47" s="29" t="s">
        <v>8</v>
      </c>
      <c r="D47" s="29" t="s">
        <v>116</v>
      </c>
      <c r="E47" s="29" t="s">
        <v>29</v>
      </c>
      <c r="F47" s="29" t="s">
        <v>7</v>
      </c>
      <c r="G47" s="39" t="e">
        <f>#REF!+#REF!+#REF!</f>
        <v>#REF!</v>
      </c>
      <c r="H47" s="39" t="e">
        <f>#REF!+#REF!+#REF!</f>
        <v>#REF!</v>
      </c>
      <c r="I47" s="263">
        <f>I48+I56+I58</f>
        <v>4861.6</v>
      </c>
      <c r="J47" s="263">
        <f>J48+J56+J58</f>
        <v>4282.8</v>
      </c>
      <c r="K47" s="263">
        <f t="shared" si="0"/>
        <v>88.09445450057594</v>
      </c>
    </row>
    <row r="48" spans="1:11" ht="33.75" customHeight="1">
      <c r="A48" s="16" t="s">
        <v>110</v>
      </c>
      <c r="B48" s="37">
        <v>503</v>
      </c>
      <c r="C48" s="32" t="s">
        <v>8</v>
      </c>
      <c r="D48" s="32" t="s">
        <v>116</v>
      </c>
      <c r="E48" s="98" t="s">
        <v>125</v>
      </c>
      <c r="F48" s="98" t="s">
        <v>7</v>
      </c>
      <c r="G48" s="8"/>
      <c r="H48" s="40"/>
      <c r="I48" s="263">
        <f>I49</f>
        <v>3433.7</v>
      </c>
      <c r="J48" s="263">
        <f>J49</f>
        <v>3364.1000000000004</v>
      </c>
      <c r="K48" s="263">
        <f t="shared" si="0"/>
        <v>97.97303200629061</v>
      </c>
    </row>
    <row r="49" spans="1:11" ht="33" customHeight="1">
      <c r="A49" s="204" t="s">
        <v>20</v>
      </c>
      <c r="B49" s="37">
        <v>503</v>
      </c>
      <c r="C49" s="32" t="s">
        <v>8</v>
      </c>
      <c r="D49" s="32" t="s">
        <v>116</v>
      </c>
      <c r="E49" s="98" t="s">
        <v>248</v>
      </c>
      <c r="F49" s="32" t="s">
        <v>7</v>
      </c>
      <c r="G49" s="41"/>
      <c r="H49" s="41">
        <v>2777</v>
      </c>
      <c r="I49" s="264">
        <f>I50+I51+I52+I53+I54</f>
        <v>3433.7</v>
      </c>
      <c r="J49" s="264">
        <f>J50+J51+J52+J53+J54</f>
        <v>3364.1000000000004</v>
      </c>
      <c r="K49" s="263">
        <f t="shared" si="0"/>
        <v>97.97303200629061</v>
      </c>
    </row>
    <row r="50" spans="1:11" ht="26.25" customHeight="1">
      <c r="A50" s="212" t="s">
        <v>133</v>
      </c>
      <c r="B50" s="37">
        <v>503</v>
      </c>
      <c r="C50" s="32" t="s">
        <v>8</v>
      </c>
      <c r="D50" s="32" t="s">
        <v>116</v>
      </c>
      <c r="E50" s="98" t="s">
        <v>248</v>
      </c>
      <c r="F50" s="98" t="s">
        <v>135</v>
      </c>
      <c r="G50" s="84"/>
      <c r="H50" s="84"/>
      <c r="I50" s="264">
        <v>1890.9</v>
      </c>
      <c r="J50" s="317">
        <v>2148.9</v>
      </c>
      <c r="K50" s="263">
        <f t="shared" si="0"/>
        <v>113.64429636680946</v>
      </c>
    </row>
    <row r="51" spans="1:11" ht="30" customHeight="1">
      <c r="A51" s="121" t="s">
        <v>132</v>
      </c>
      <c r="B51" s="37">
        <v>503</v>
      </c>
      <c r="C51" s="32" t="s">
        <v>8</v>
      </c>
      <c r="D51" s="32" t="s">
        <v>116</v>
      </c>
      <c r="E51" s="98" t="s">
        <v>248</v>
      </c>
      <c r="F51" s="98" t="s">
        <v>136</v>
      </c>
      <c r="G51" s="84"/>
      <c r="H51" s="84"/>
      <c r="I51" s="264">
        <v>3</v>
      </c>
      <c r="J51" s="317">
        <v>0</v>
      </c>
      <c r="K51" s="263">
        <f t="shared" si="0"/>
        <v>0</v>
      </c>
    </row>
    <row r="52" spans="1:11" ht="31.5" customHeight="1">
      <c r="A52" s="121" t="s">
        <v>142</v>
      </c>
      <c r="B52" s="37">
        <v>503</v>
      </c>
      <c r="C52" s="32" t="s">
        <v>8</v>
      </c>
      <c r="D52" s="32" t="s">
        <v>116</v>
      </c>
      <c r="E52" s="98" t="s">
        <v>248</v>
      </c>
      <c r="F52" s="98" t="s">
        <v>129</v>
      </c>
      <c r="G52" s="84"/>
      <c r="H52" s="84"/>
      <c r="I52" s="264">
        <v>1519.8</v>
      </c>
      <c r="J52" s="317">
        <v>1206.4</v>
      </c>
      <c r="K52" s="263">
        <f t="shared" si="0"/>
        <v>79.37886564021582</v>
      </c>
    </row>
    <row r="53" spans="1:11" ht="27" customHeight="1">
      <c r="A53" s="212" t="s">
        <v>131</v>
      </c>
      <c r="B53" s="37">
        <v>503</v>
      </c>
      <c r="C53" s="32" t="s">
        <v>8</v>
      </c>
      <c r="D53" s="32" t="s">
        <v>116</v>
      </c>
      <c r="E53" s="98" t="s">
        <v>248</v>
      </c>
      <c r="F53" s="98" t="s">
        <v>130</v>
      </c>
      <c r="G53" s="84"/>
      <c r="H53" s="84"/>
      <c r="I53" s="264">
        <v>10</v>
      </c>
      <c r="J53" s="317">
        <v>3.3</v>
      </c>
      <c r="K53" s="263">
        <f t="shared" si="0"/>
        <v>32.99999999999999</v>
      </c>
    </row>
    <row r="54" spans="1:11" ht="27.75" customHeight="1">
      <c r="A54" s="212" t="s">
        <v>138</v>
      </c>
      <c r="B54" s="37">
        <v>503</v>
      </c>
      <c r="C54" s="32" t="s">
        <v>8</v>
      </c>
      <c r="D54" s="32" t="s">
        <v>116</v>
      </c>
      <c r="E54" s="98" t="s">
        <v>248</v>
      </c>
      <c r="F54" s="98" t="s">
        <v>137</v>
      </c>
      <c r="G54" s="84"/>
      <c r="H54" s="84"/>
      <c r="I54" s="264">
        <v>10</v>
      </c>
      <c r="J54" s="317">
        <v>5.5</v>
      </c>
      <c r="K54" s="263">
        <f t="shared" si="0"/>
        <v>55.00000000000001</v>
      </c>
    </row>
    <row r="55" spans="1:11" ht="74.25" customHeight="1">
      <c r="A55" s="212" t="s">
        <v>263</v>
      </c>
      <c r="B55" s="37">
        <v>503</v>
      </c>
      <c r="C55" s="98" t="s">
        <v>8</v>
      </c>
      <c r="D55" s="98" t="s">
        <v>116</v>
      </c>
      <c r="E55" s="98" t="s">
        <v>264</v>
      </c>
      <c r="F55" s="98" t="s">
        <v>7</v>
      </c>
      <c r="G55" s="84"/>
      <c r="H55" s="84"/>
      <c r="I55" s="264">
        <f>I56</f>
        <v>611.3</v>
      </c>
      <c r="J55" s="264">
        <f>J56</f>
        <v>440.5</v>
      </c>
      <c r="K55" s="263">
        <f t="shared" si="0"/>
        <v>72.0595452314739</v>
      </c>
    </row>
    <row r="56" spans="1:11" ht="49.5" customHeight="1">
      <c r="A56" s="121" t="s">
        <v>150</v>
      </c>
      <c r="B56" s="37">
        <v>503</v>
      </c>
      <c r="C56" s="32" t="s">
        <v>8</v>
      </c>
      <c r="D56" s="32" t="s">
        <v>116</v>
      </c>
      <c r="E56" s="98" t="s">
        <v>1</v>
      </c>
      <c r="F56" s="98" t="s">
        <v>7</v>
      </c>
      <c r="G56" s="84"/>
      <c r="H56" s="84"/>
      <c r="I56" s="264">
        <f>I57</f>
        <v>611.3</v>
      </c>
      <c r="J56" s="264">
        <f>J57</f>
        <v>440.5</v>
      </c>
      <c r="K56" s="263">
        <f t="shared" si="0"/>
        <v>72.0595452314739</v>
      </c>
    </row>
    <row r="57" spans="1:11" ht="29.25" customHeight="1">
      <c r="A57" s="212" t="s">
        <v>133</v>
      </c>
      <c r="B57" s="37">
        <v>503</v>
      </c>
      <c r="C57" s="32" t="s">
        <v>8</v>
      </c>
      <c r="D57" s="32" t="s">
        <v>116</v>
      </c>
      <c r="E57" s="98" t="s">
        <v>1</v>
      </c>
      <c r="F57" s="98" t="s">
        <v>135</v>
      </c>
      <c r="G57" s="97">
        <f>25.8+240.2</f>
        <v>266</v>
      </c>
      <c r="H57" s="84"/>
      <c r="I57" s="264">
        <v>611.3</v>
      </c>
      <c r="J57" s="319">
        <v>440.5</v>
      </c>
      <c r="K57" s="263">
        <f t="shared" si="0"/>
        <v>72.0595452314739</v>
      </c>
    </row>
    <row r="58" spans="1:11" ht="126" customHeight="1">
      <c r="A58" s="212" t="s">
        <v>158</v>
      </c>
      <c r="B58" s="37">
        <v>503</v>
      </c>
      <c r="C58" s="98" t="s">
        <v>8</v>
      </c>
      <c r="D58" s="98" t="s">
        <v>116</v>
      </c>
      <c r="E58" s="98" t="s">
        <v>159</v>
      </c>
      <c r="F58" s="98" t="s">
        <v>7</v>
      </c>
      <c r="G58" s="97"/>
      <c r="H58" s="84"/>
      <c r="I58" s="264">
        <f>I59+I62+I65+I68</f>
        <v>816.6</v>
      </c>
      <c r="J58" s="264">
        <f>J59+J62+J65+J68</f>
        <v>478.2</v>
      </c>
      <c r="K58" s="263">
        <f t="shared" si="0"/>
        <v>58.559882439382804</v>
      </c>
    </row>
    <row r="59" spans="1:11" ht="93.75" customHeight="1">
      <c r="A59" s="139" t="s">
        <v>160</v>
      </c>
      <c r="B59" s="87">
        <v>503</v>
      </c>
      <c r="C59" s="49" t="s">
        <v>8</v>
      </c>
      <c r="D59" s="49" t="s">
        <v>116</v>
      </c>
      <c r="E59" s="140" t="s">
        <v>161</v>
      </c>
      <c r="F59" s="49" t="s">
        <v>7</v>
      </c>
      <c r="G59" s="97"/>
      <c r="H59" s="84"/>
      <c r="I59" s="264">
        <f>I60+I61</f>
        <v>428.2</v>
      </c>
      <c r="J59" s="264">
        <f>J60+J61</f>
        <v>216.7</v>
      </c>
      <c r="K59" s="263">
        <f t="shared" si="0"/>
        <v>50.60719290051377</v>
      </c>
    </row>
    <row r="60" spans="1:11" ht="25.5" customHeight="1">
      <c r="A60" s="227" t="s">
        <v>133</v>
      </c>
      <c r="B60" s="87">
        <v>503</v>
      </c>
      <c r="C60" s="49" t="s">
        <v>8</v>
      </c>
      <c r="D60" s="49" t="s">
        <v>116</v>
      </c>
      <c r="E60" s="140" t="s">
        <v>161</v>
      </c>
      <c r="F60" s="49" t="s">
        <v>127</v>
      </c>
      <c r="G60" s="97"/>
      <c r="H60" s="84"/>
      <c r="I60" s="264">
        <v>333.7</v>
      </c>
      <c r="J60" s="319">
        <v>181.6</v>
      </c>
      <c r="K60" s="263">
        <f t="shared" si="0"/>
        <v>54.4201378483668</v>
      </c>
    </row>
    <row r="61" spans="1:11" ht="35.25" customHeight="1">
      <c r="A61" s="228" t="s">
        <v>142</v>
      </c>
      <c r="B61" s="87">
        <v>503</v>
      </c>
      <c r="C61" s="49" t="s">
        <v>8</v>
      </c>
      <c r="D61" s="49" t="s">
        <v>116</v>
      </c>
      <c r="E61" s="140" t="s">
        <v>161</v>
      </c>
      <c r="F61" s="49" t="s">
        <v>129</v>
      </c>
      <c r="G61" s="97"/>
      <c r="H61" s="84"/>
      <c r="I61" s="264">
        <v>94.5</v>
      </c>
      <c r="J61" s="319">
        <v>35.1</v>
      </c>
      <c r="K61" s="263">
        <f t="shared" si="0"/>
        <v>37.142857142857146</v>
      </c>
    </row>
    <row r="62" spans="1:11" ht="155.25" customHeight="1">
      <c r="A62" s="16" t="s">
        <v>162</v>
      </c>
      <c r="B62" s="37">
        <v>503</v>
      </c>
      <c r="C62" s="98" t="s">
        <v>8</v>
      </c>
      <c r="D62" s="98" t="s">
        <v>116</v>
      </c>
      <c r="E62" s="98" t="s">
        <v>249</v>
      </c>
      <c r="F62" s="98" t="s">
        <v>7</v>
      </c>
      <c r="G62" s="97"/>
      <c r="H62" s="84"/>
      <c r="I62" s="264">
        <f>I63+I64</f>
        <v>114.9</v>
      </c>
      <c r="J62" s="264">
        <f>J63+J64</f>
        <v>57.9</v>
      </c>
      <c r="K62" s="263">
        <f t="shared" si="0"/>
        <v>50.391644908616186</v>
      </c>
    </row>
    <row r="63" spans="1:11" ht="25.5" customHeight="1">
      <c r="A63" s="212" t="s">
        <v>133</v>
      </c>
      <c r="B63" s="37">
        <v>503</v>
      </c>
      <c r="C63" s="98" t="s">
        <v>8</v>
      </c>
      <c r="D63" s="98" t="s">
        <v>116</v>
      </c>
      <c r="E63" s="98" t="s">
        <v>249</v>
      </c>
      <c r="F63" s="98" t="s">
        <v>127</v>
      </c>
      <c r="G63" s="97"/>
      <c r="H63" s="84"/>
      <c r="I63" s="264">
        <v>97.9</v>
      </c>
      <c r="J63" s="319">
        <v>52.4</v>
      </c>
      <c r="K63" s="263">
        <f t="shared" si="0"/>
        <v>53.524004085801835</v>
      </c>
    </row>
    <row r="64" spans="1:11" ht="40.5" customHeight="1">
      <c r="A64" s="121" t="s">
        <v>142</v>
      </c>
      <c r="B64" s="37">
        <v>503</v>
      </c>
      <c r="C64" s="98" t="s">
        <v>8</v>
      </c>
      <c r="D64" s="98" t="s">
        <v>116</v>
      </c>
      <c r="E64" s="98" t="s">
        <v>249</v>
      </c>
      <c r="F64" s="98" t="s">
        <v>129</v>
      </c>
      <c r="G64" s="97"/>
      <c r="H64" s="84"/>
      <c r="I64" s="264">
        <v>17</v>
      </c>
      <c r="J64" s="319">
        <v>5.5</v>
      </c>
      <c r="K64" s="263">
        <f t="shared" si="0"/>
        <v>32.35294117647059</v>
      </c>
    </row>
    <row r="65" spans="1:11" ht="123.75" customHeight="1">
      <c r="A65" s="141" t="s">
        <v>163</v>
      </c>
      <c r="B65" s="37">
        <v>503</v>
      </c>
      <c r="C65" s="98" t="s">
        <v>8</v>
      </c>
      <c r="D65" s="98" t="s">
        <v>116</v>
      </c>
      <c r="E65" s="142" t="s">
        <v>164</v>
      </c>
      <c r="F65" s="98" t="s">
        <v>7</v>
      </c>
      <c r="G65" s="97"/>
      <c r="H65" s="84"/>
      <c r="I65" s="264">
        <f>I66+I67</f>
        <v>266</v>
      </c>
      <c r="J65" s="264">
        <f>J66+J67</f>
        <v>198.5</v>
      </c>
      <c r="K65" s="263">
        <f t="shared" si="0"/>
        <v>74.62406015037594</v>
      </c>
    </row>
    <row r="66" spans="1:11" ht="34.5" customHeight="1">
      <c r="A66" s="212" t="s">
        <v>133</v>
      </c>
      <c r="B66" s="37">
        <v>503</v>
      </c>
      <c r="C66" s="98" t="s">
        <v>8</v>
      </c>
      <c r="D66" s="98" t="s">
        <v>116</v>
      </c>
      <c r="E66" s="142" t="s">
        <v>164</v>
      </c>
      <c r="F66" s="49" t="s">
        <v>127</v>
      </c>
      <c r="G66" s="97"/>
      <c r="H66" s="84"/>
      <c r="I66" s="264">
        <v>259.6</v>
      </c>
      <c r="J66" s="319">
        <v>198.5</v>
      </c>
      <c r="K66" s="263">
        <f t="shared" si="0"/>
        <v>76.46379044684129</v>
      </c>
    </row>
    <row r="67" spans="1:11" ht="37.5" customHeight="1">
      <c r="A67" s="121" t="s">
        <v>142</v>
      </c>
      <c r="B67" s="37">
        <v>503</v>
      </c>
      <c r="C67" s="98" t="s">
        <v>8</v>
      </c>
      <c r="D67" s="98" t="s">
        <v>116</v>
      </c>
      <c r="E67" s="142" t="s">
        <v>164</v>
      </c>
      <c r="F67" s="49" t="s">
        <v>129</v>
      </c>
      <c r="G67" s="97"/>
      <c r="H67" s="84"/>
      <c r="I67" s="264">
        <v>6.4</v>
      </c>
      <c r="J67" s="317">
        <v>0</v>
      </c>
      <c r="K67" s="263">
        <f t="shared" si="0"/>
        <v>0</v>
      </c>
    </row>
    <row r="68" spans="1:11" ht="151.5" customHeight="1">
      <c r="A68" s="143" t="s">
        <v>165</v>
      </c>
      <c r="B68" s="37">
        <v>503</v>
      </c>
      <c r="C68" s="98" t="s">
        <v>8</v>
      </c>
      <c r="D68" s="98" t="s">
        <v>116</v>
      </c>
      <c r="E68" s="144" t="s">
        <v>166</v>
      </c>
      <c r="F68" s="98" t="s">
        <v>7</v>
      </c>
      <c r="G68" s="97"/>
      <c r="H68" s="84"/>
      <c r="I68" s="264">
        <f>I69+I70</f>
        <v>7.5</v>
      </c>
      <c r="J68" s="264">
        <f>J69+J70</f>
        <v>5.1000000000000005</v>
      </c>
      <c r="K68" s="263">
        <f t="shared" si="0"/>
        <v>68</v>
      </c>
    </row>
    <row r="69" spans="1:11" ht="25.5" customHeight="1">
      <c r="A69" s="212" t="s">
        <v>133</v>
      </c>
      <c r="B69" s="37">
        <v>503</v>
      </c>
      <c r="C69" s="98" t="s">
        <v>8</v>
      </c>
      <c r="D69" s="98" t="s">
        <v>116</v>
      </c>
      <c r="E69" s="144" t="s">
        <v>167</v>
      </c>
      <c r="F69" s="98" t="s">
        <v>127</v>
      </c>
      <c r="G69" s="97"/>
      <c r="H69" s="84"/>
      <c r="I69" s="264">
        <f>12-5.2</f>
        <v>6.8</v>
      </c>
      <c r="J69" s="319">
        <v>4.7</v>
      </c>
      <c r="K69" s="263">
        <f t="shared" si="0"/>
        <v>69.11764705882354</v>
      </c>
    </row>
    <row r="70" spans="1:11" ht="35.25" customHeight="1">
      <c r="A70" s="121" t="s">
        <v>170</v>
      </c>
      <c r="B70" s="37">
        <v>503</v>
      </c>
      <c r="C70" s="98" t="s">
        <v>8</v>
      </c>
      <c r="D70" s="98" t="s">
        <v>116</v>
      </c>
      <c r="E70" s="144" t="s">
        <v>166</v>
      </c>
      <c r="F70" s="98" t="s">
        <v>129</v>
      </c>
      <c r="G70" s="97"/>
      <c r="H70" s="84"/>
      <c r="I70" s="264">
        <v>0.7</v>
      </c>
      <c r="J70" s="319">
        <v>0.4</v>
      </c>
      <c r="K70" s="263">
        <f t="shared" si="0"/>
        <v>57.14285714285715</v>
      </c>
    </row>
    <row r="71" spans="1:11" ht="33" customHeight="1">
      <c r="A71" s="209" t="s">
        <v>117</v>
      </c>
      <c r="B71" s="86">
        <v>503</v>
      </c>
      <c r="C71" s="88" t="s">
        <v>24</v>
      </c>
      <c r="D71" s="88" t="s">
        <v>16</v>
      </c>
      <c r="E71" s="88" t="s">
        <v>29</v>
      </c>
      <c r="F71" s="88" t="s">
        <v>7</v>
      </c>
      <c r="G71" s="42">
        <f>G76</f>
        <v>0</v>
      </c>
      <c r="H71" s="42">
        <f>H76</f>
        <v>26</v>
      </c>
      <c r="I71" s="263">
        <f>I72+I76</f>
        <v>474.5</v>
      </c>
      <c r="J71" s="263">
        <f>J72+J76</f>
        <v>302.2</v>
      </c>
      <c r="K71" s="263">
        <f t="shared" si="0"/>
        <v>63.68809272918862</v>
      </c>
    </row>
    <row r="72" spans="1:11" ht="33" customHeight="1">
      <c r="A72" s="209" t="s">
        <v>168</v>
      </c>
      <c r="B72" s="107">
        <v>503</v>
      </c>
      <c r="C72" s="29" t="s">
        <v>24</v>
      </c>
      <c r="D72" s="29" t="s">
        <v>15</v>
      </c>
      <c r="E72" s="29" t="s">
        <v>29</v>
      </c>
      <c r="F72" s="29" t="s">
        <v>7</v>
      </c>
      <c r="G72" s="42"/>
      <c r="H72" s="42"/>
      <c r="I72" s="263">
        <f>I73</f>
        <v>424.5</v>
      </c>
      <c r="J72" s="263">
        <f>J73</f>
        <v>302.2</v>
      </c>
      <c r="K72" s="263">
        <f t="shared" si="0"/>
        <v>71.18963486454652</v>
      </c>
    </row>
    <row r="73" spans="1:11" ht="45.75" customHeight="1">
      <c r="A73" s="157" t="s">
        <v>169</v>
      </c>
      <c r="B73" s="107">
        <v>503</v>
      </c>
      <c r="C73" s="29" t="s">
        <v>24</v>
      </c>
      <c r="D73" s="29" t="s">
        <v>15</v>
      </c>
      <c r="E73" s="29" t="s">
        <v>107</v>
      </c>
      <c r="F73" s="29" t="s">
        <v>7</v>
      </c>
      <c r="G73" s="42"/>
      <c r="H73" s="42"/>
      <c r="I73" s="263">
        <f>I74+I75</f>
        <v>424.5</v>
      </c>
      <c r="J73" s="263">
        <f>J74+J75</f>
        <v>302.2</v>
      </c>
      <c r="K73" s="263">
        <f t="shared" si="0"/>
        <v>71.18963486454652</v>
      </c>
    </row>
    <row r="74" spans="1:11" ht="29.25" customHeight="1">
      <c r="A74" s="212" t="s">
        <v>133</v>
      </c>
      <c r="B74" s="89">
        <v>503</v>
      </c>
      <c r="C74" s="32" t="s">
        <v>24</v>
      </c>
      <c r="D74" s="32" t="s">
        <v>15</v>
      </c>
      <c r="E74" s="32" t="s">
        <v>107</v>
      </c>
      <c r="F74" s="32" t="s">
        <v>127</v>
      </c>
      <c r="G74" s="42"/>
      <c r="H74" s="42"/>
      <c r="I74" s="264">
        <v>402</v>
      </c>
      <c r="J74" s="319">
        <v>282.2</v>
      </c>
      <c r="K74" s="263">
        <f t="shared" si="0"/>
        <v>70.19900497512438</v>
      </c>
    </row>
    <row r="75" spans="1:11" ht="39.75" customHeight="1">
      <c r="A75" s="121" t="s">
        <v>170</v>
      </c>
      <c r="B75" s="89">
        <v>503</v>
      </c>
      <c r="C75" s="32" t="s">
        <v>24</v>
      </c>
      <c r="D75" s="32" t="s">
        <v>15</v>
      </c>
      <c r="E75" s="32" t="s">
        <v>107</v>
      </c>
      <c r="F75" s="98" t="s">
        <v>129</v>
      </c>
      <c r="G75" s="42"/>
      <c r="H75" s="42"/>
      <c r="I75" s="264">
        <v>22.5</v>
      </c>
      <c r="J75" s="319">
        <v>20</v>
      </c>
      <c r="K75" s="263">
        <f t="shared" si="0"/>
        <v>88.88888888888889</v>
      </c>
    </row>
    <row r="76" spans="1:11" ht="66" customHeight="1">
      <c r="A76" s="208" t="s">
        <v>90</v>
      </c>
      <c r="B76" s="104">
        <v>503</v>
      </c>
      <c r="C76" s="21" t="s">
        <v>24</v>
      </c>
      <c r="D76" s="21" t="s">
        <v>22</v>
      </c>
      <c r="E76" s="21" t="s">
        <v>29</v>
      </c>
      <c r="F76" s="21" t="s">
        <v>7</v>
      </c>
      <c r="G76" s="287"/>
      <c r="H76" s="287">
        <f aca="true" t="shared" si="2" ref="H76:J78">H77</f>
        <v>26</v>
      </c>
      <c r="I76" s="263">
        <f t="shared" si="2"/>
        <v>50</v>
      </c>
      <c r="J76" s="263">
        <f t="shared" si="2"/>
        <v>0</v>
      </c>
      <c r="K76" s="263">
        <f t="shared" si="0"/>
        <v>0</v>
      </c>
    </row>
    <row r="77" spans="1:11" ht="48" customHeight="1">
      <c r="A77" s="204" t="s">
        <v>32</v>
      </c>
      <c r="B77" s="87">
        <v>503</v>
      </c>
      <c r="C77" s="49" t="s">
        <v>24</v>
      </c>
      <c r="D77" s="49" t="s">
        <v>22</v>
      </c>
      <c r="E77" s="49" t="s">
        <v>250</v>
      </c>
      <c r="F77" s="49" t="s">
        <v>7</v>
      </c>
      <c r="G77" s="35"/>
      <c r="H77" s="35">
        <f t="shared" si="2"/>
        <v>26</v>
      </c>
      <c r="I77" s="264">
        <f t="shared" si="2"/>
        <v>50</v>
      </c>
      <c r="J77" s="264">
        <f t="shared" si="2"/>
        <v>0</v>
      </c>
      <c r="K77" s="263">
        <f t="shared" si="0"/>
        <v>0</v>
      </c>
    </row>
    <row r="78" spans="1:11" ht="59.25" customHeight="1">
      <c r="A78" s="204" t="s">
        <v>33</v>
      </c>
      <c r="B78" s="87">
        <v>503</v>
      </c>
      <c r="C78" s="49" t="s">
        <v>24</v>
      </c>
      <c r="D78" s="49" t="s">
        <v>22</v>
      </c>
      <c r="E78" s="49" t="s">
        <v>251</v>
      </c>
      <c r="F78" s="49" t="s">
        <v>7</v>
      </c>
      <c r="G78" s="23"/>
      <c r="H78" s="23">
        <f t="shared" si="2"/>
        <v>26</v>
      </c>
      <c r="I78" s="264">
        <f t="shared" si="2"/>
        <v>50</v>
      </c>
      <c r="J78" s="264">
        <f t="shared" si="2"/>
        <v>0</v>
      </c>
      <c r="K78" s="263">
        <f t="shared" si="0"/>
        <v>0</v>
      </c>
    </row>
    <row r="79" spans="1:11" ht="37.5" customHeight="1">
      <c r="A79" s="121" t="s">
        <v>142</v>
      </c>
      <c r="B79" s="87">
        <v>503</v>
      </c>
      <c r="C79" s="49" t="s">
        <v>24</v>
      </c>
      <c r="D79" s="49" t="s">
        <v>22</v>
      </c>
      <c r="E79" s="49" t="s">
        <v>251</v>
      </c>
      <c r="F79" s="49" t="s">
        <v>129</v>
      </c>
      <c r="G79" s="23"/>
      <c r="H79" s="23">
        <v>26</v>
      </c>
      <c r="I79" s="264">
        <v>50</v>
      </c>
      <c r="J79" s="264">
        <v>0</v>
      </c>
      <c r="K79" s="263">
        <f t="shared" si="0"/>
        <v>0</v>
      </c>
    </row>
    <row r="80" spans="1:11" ht="27" customHeight="1">
      <c r="A80" s="208" t="s">
        <v>50</v>
      </c>
      <c r="B80" s="107">
        <v>503</v>
      </c>
      <c r="C80" s="29" t="s">
        <v>15</v>
      </c>
      <c r="D80" s="29" t="s">
        <v>16</v>
      </c>
      <c r="E80" s="29" t="s">
        <v>29</v>
      </c>
      <c r="F80" s="29" t="s">
        <v>7</v>
      </c>
      <c r="G80" s="46">
        <f>G87</f>
        <v>0</v>
      </c>
      <c r="H80" s="46" t="e">
        <f>H87</f>
        <v>#REF!</v>
      </c>
      <c r="I80" s="263">
        <f>I87+I84</f>
        <v>1015.7</v>
      </c>
      <c r="J80" s="263">
        <f>J87+J84</f>
        <v>296.6</v>
      </c>
      <c r="K80" s="263">
        <f aca="true" t="shared" si="3" ref="K80:K143">J80/I80*100</f>
        <v>29.201535886580682</v>
      </c>
    </row>
    <row r="81" spans="1:11" ht="18" customHeight="1" hidden="1">
      <c r="A81" s="204" t="s">
        <v>98</v>
      </c>
      <c r="B81" s="107">
        <v>503</v>
      </c>
      <c r="C81" s="29" t="s">
        <v>15</v>
      </c>
      <c r="D81" s="29" t="s">
        <v>9</v>
      </c>
      <c r="E81" s="29" t="s">
        <v>55</v>
      </c>
      <c r="F81" s="29" t="s">
        <v>7</v>
      </c>
      <c r="G81" s="46"/>
      <c r="H81" s="46"/>
      <c r="I81" s="263">
        <f>I82</f>
        <v>0</v>
      </c>
      <c r="J81" s="46"/>
      <c r="K81" s="263" t="e">
        <f t="shared" si="3"/>
        <v>#DIV/0!</v>
      </c>
    </row>
    <row r="82" spans="1:11" ht="54" customHeight="1" hidden="1">
      <c r="A82" s="210" t="s">
        <v>97</v>
      </c>
      <c r="B82" s="107">
        <v>503</v>
      </c>
      <c r="C82" s="32" t="s">
        <v>15</v>
      </c>
      <c r="D82" s="32" t="s">
        <v>9</v>
      </c>
      <c r="E82" s="32" t="s">
        <v>114</v>
      </c>
      <c r="F82" s="32" t="s">
        <v>7</v>
      </c>
      <c r="G82" s="46"/>
      <c r="H82" s="46"/>
      <c r="I82" s="264">
        <f>I83</f>
        <v>0</v>
      </c>
      <c r="J82" s="46"/>
      <c r="K82" s="263" t="e">
        <f t="shared" si="3"/>
        <v>#DIV/0!</v>
      </c>
    </row>
    <row r="83" spans="1:11" ht="52.5" customHeight="1" hidden="1">
      <c r="A83" s="211" t="s">
        <v>115</v>
      </c>
      <c r="B83" s="107">
        <v>503</v>
      </c>
      <c r="C83" s="29" t="s">
        <v>15</v>
      </c>
      <c r="D83" s="29" t="s">
        <v>9</v>
      </c>
      <c r="E83" s="29" t="s">
        <v>114</v>
      </c>
      <c r="F83" s="29" t="s">
        <v>108</v>
      </c>
      <c r="G83" s="46"/>
      <c r="H83" s="46"/>
      <c r="I83" s="264"/>
      <c r="J83" s="46"/>
      <c r="K83" s="263" t="e">
        <f t="shared" si="3"/>
        <v>#DIV/0!</v>
      </c>
    </row>
    <row r="84" spans="1:11" ht="26.25" customHeight="1">
      <c r="A84" s="213" t="s">
        <v>171</v>
      </c>
      <c r="B84" s="107">
        <v>503</v>
      </c>
      <c r="C84" s="29" t="s">
        <v>15</v>
      </c>
      <c r="D84" s="29" t="s">
        <v>45</v>
      </c>
      <c r="E84" s="29" t="s">
        <v>29</v>
      </c>
      <c r="F84" s="29" t="s">
        <v>7</v>
      </c>
      <c r="G84" s="46"/>
      <c r="H84" s="46"/>
      <c r="I84" s="264">
        <f>I85</f>
        <v>41.1</v>
      </c>
      <c r="J84" s="264">
        <f>J85</f>
        <v>0</v>
      </c>
      <c r="K84" s="263">
        <f t="shared" si="3"/>
        <v>0</v>
      </c>
    </row>
    <row r="85" spans="1:11" ht="75" customHeight="1">
      <c r="A85" s="5" t="s">
        <v>172</v>
      </c>
      <c r="B85" s="108" t="s">
        <v>49</v>
      </c>
      <c r="C85" s="32" t="s">
        <v>15</v>
      </c>
      <c r="D85" s="32" t="s">
        <v>45</v>
      </c>
      <c r="E85" s="98" t="s">
        <v>252</v>
      </c>
      <c r="F85" s="32" t="s">
        <v>7</v>
      </c>
      <c r="G85" s="46"/>
      <c r="H85" s="46"/>
      <c r="I85" s="264">
        <f>I86</f>
        <v>41.1</v>
      </c>
      <c r="J85" s="264">
        <f>J86</f>
        <v>0</v>
      </c>
      <c r="K85" s="263">
        <f t="shared" si="3"/>
        <v>0</v>
      </c>
    </row>
    <row r="86" spans="1:11" ht="35.25" customHeight="1">
      <c r="A86" s="121" t="s">
        <v>142</v>
      </c>
      <c r="B86" s="108" t="s">
        <v>49</v>
      </c>
      <c r="C86" s="32" t="s">
        <v>15</v>
      </c>
      <c r="D86" s="32" t="s">
        <v>45</v>
      </c>
      <c r="E86" s="98" t="s">
        <v>252</v>
      </c>
      <c r="F86" s="32" t="s">
        <v>129</v>
      </c>
      <c r="G86" s="46"/>
      <c r="H86" s="46"/>
      <c r="I86" s="264">
        <v>41.1</v>
      </c>
      <c r="J86" s="264">
        <v>0</v>
      </c>
      <c r="K86" s="263">
        <f t="shared" si="3"/>
        <v>0</v>
      </c>
    </row>
    <row r="87" spans="1:11" ht="28.5" customHeight="1">
      <c r="A87" s="208" t="s">
        <v>101</v>
      </c>
      <c r="B87" s="107">
        <v>503</v>
      </c>
      <c r="C87" s="29" t="s">
        <v>15</v>
      </c>
      <c r="D87" s="29" t="s">
        <v>54</v>
      </c>
      <c r="E87" s="29" t="s">
        <v>29</v>
      </c>
      <c r="F87" s="214" t="s">
        <v>7</v>
      </c>
      <c r="G87" s="47"/>
      <c r="H87" s="47" t="e">
        <f>#REF!+#REF!+H90</f>
        <v>#REF!</v>
      </c>
      <c r="I87" s="263">
        <f>I88+I90</f>
        <v>974.6</v>
      </c>
      <c r="J87" s="263">
        <f>J88+J90</f>
        <v>296.6</v>
      </c>
      <c r="K87" s="263">
        <f t="shared" si="3"/>
        <v>30.432998153088448</v>
      </c>
    </row>
    <row r="88" spans="1:11" ht="51.75" customHeight="1">
      <c r="A88" s="204" t="s">
        <v>102</v>
      </c>
      <c r="B88" s="87">
        <v>503</v>
      </c>
      <c r="C88" s="49" t="s">
        <v>15</v>
      </c>
      <c r="D88" s="49" t="s">
        <v>54</v>
      </c>
      <c r="E88" s="241" t="s">
        <v>275</v>
      </c>
      <c r="F88" s="50" t="s">
        <v>7</v>
      </c>
      <c r="G88" s="47"/>
      <c r="H88" s="47"/>
      <c r="I88" s="264">
        <f>I89</f>
        <v>824.6</v>
      </c>
      <c r="J88" s="264">
        <f>J89</f>
        <v>261.6</v>
      </c>
      <c r="K88" s="263">
        <f t="shared" si="3"/>
        <v>31.724472471501336</v>
      </c>
    </row>
    <row r="89" spans="1:11" ht="28.5" customHeight="1">
      <c r="A89" s="204" t="s">
        <v>85</v>
      </c>
      <c r="B89" s="87">
        <v>503</v>
      </c>
      <c r="C89" s="49" t="s">
        <v>15</v>
      </c>
      <c r="D89" s="49" t="s">
        <v>54</v>
      </c>
      <c r="E89" s="241" t="s">
        <v>275</v>
      </c>
      <c r="F89" s="50" t="s">
        <v>271</v>
      </c>
      <c r="G89" s="47"/>
      <c r="H89" s="47"/>
      <c r="I89" s="264">
        <v>824.6</v>
      </c>
      <c r="J89" s="318">
        <v>261.6</v>
      </c>
      <c r="K89" s="263">
        <f t="shared" si="3"/>
        <v>31.724472471501336</v>
      </c>
    </row>
    <row r="90" spans="1:11" ht="47.25" customHeight="1">
      <c r="A90" s="204" t="s">
        <v>269</v>
      </c>
      <c r="B90" s="87">
        <v>503</v>
      </c>
      <c r="C90" s="49" t="s">
        <v>15</v>
      </c>
      <c r="D90" s="49" t="s">
        <v>54</v>
      </c>
      <c r="E90" s="51" t="s">
        <v>220</v>
      </c>
      <c r="F90" s="49" t="s">
        <v>7</v>
      </c>
      <c r="G90" s="46"/>
      <c r="H90" s="46" t="e">
        <f>#REF!</f>
        <v>#REF!</v>
      </c>
      <c r="I90" s="264">
        <f>I91</f>
        <v>150</v>
      </c>
      <c r="J90" s="264">
        <f>J91</f>
        <v>35</v>
      </c>
      <c r="K90" s="263">
        <f t="shared" si="3"/>
        <v>23.333333333333332</v>
      </c>
    </row>
    <row r="91" spans="1:11" ht="30.75" customHeight="1">
      <c r="A91" s="204" t="s">
        <v>85</v>
      </c>
      <c r="B91" s="87">
        <v>503</v>
      </c>
      <c r="C91" s="49" t="s">
        <v>15</v>
      </c>
      <c r="D91" s="49" t="s">
        <v>54</v>
      </c>
      <c r="E91" s="51" t="s">
        <v>220</v>
      </c>
      <c r="F91" s="49" t="s">
        <v>271</v>
      </c>
      <c r="G91" s="47"/>
      <c r="H91" s="47">
        <v>50</v>
      </c>
      <c r="I91" s="264">
        <v>150</v>
      </c>
      <c r="J91" s="318">
        <v>35</v>
      </c>
      <c r="K91" s="263">
        <f t="shared" si="3"/>
        <v>23.333333333333332</v>
      </c>
    </row>
    <row r="92" spans="1:11" ht="27" customHeight="1">
      <c r="A92" s="208" t="s">
        <v>94</v>
      </c>
      <c r="B92" s="104">
        <v>503</v>
      </c>
      <c r="C92" s="21" t="s">
        <v>45</v>
      </c>
      <c r="D92" s="21" t="s">
        <v>16</v>
      </c>
      <c r="E92" s="179" t="s">
        <v>29</v>
      </c>
      <c r="F92" s="21" t="s">
        <v>7</v>
      </c>
      <c r="G92" s="46"/>
      <c r="H92" s="46"/>
      <c r="I92" s="263">
        <f>I93+I96</f>
        <v>159</v>
      </c>
      <c r="J92" s="263">
        <f>J93+J96</f>
        <v>0</v>
      </c>
      <c r="K92" s="263">
        <f t="shared" si="3"/>
        <v>0</v>
      </c>
    </row>
    <row r="93" spans="1:11" ht="27" customHeight="1">
      <c r="A93" s="208" t="s">
        <v>92</v>
      </c>
      <c r="B93" s="104">
        <v>503</v>
      </c>
      <c r="C93" s="21" t="s">
        <v>45</v>
      </c>
      <c r="D93" s="21" t="s">
        <v>10</v>
      </c>
      <c r="E93" s="179" t="s">
        <v>29</v>
      </c>
      <c r="F93" s="21" t="s">
        <v>7</v>
      </c>
      <c r="G93" s="46"/>
      <c r="H93" s="46"/>
      <c r="I93" s="263">
        <f>I94</f>
        <v>150</v>
      </c>
      <c r="J93" s="263">
        <f>J94</f>
        <v>0</v>
      </c>
      <c r="K93" s="263">
        <f t="shared" si="3"/>
        <v>0</v>
      </c>
    </row>
    <row r="94" spans="1:11" ht="30.75" customHeight="1">
      <c r="A94" s="204" t="s">
        <v>51</v>
      </c>
      <c r="B94" s="87">
        <v>503</v>
      </c>
      <c r="C94" s="49" t="s">
        <v>45</v>
      </c>
      <c r="D94" s="49" t="s">
        <v>10</v>
      </c>
      <c r="E94" s="51" t="s">
        <v>276</v>
      </c>
      <c r="F94" s="49" t="s">
        <v>7</v>
      </c>
      <c r="G94" s="47"/>
      <c r="H94" s="47"/>
      <c r="I94" s="270">
        <f>I95</f>
        <v>150</v>
      </c>
      <c r="J94" s="270">
        <f>J95</f>
        <v>0</v>
      </c>
      <c r="K94" s="263">
        <f t="shared" si="3"/>
        <v>0</v>
      </c>
    </row>
    <row r="95" spans="1:11" ht="34.5" customHeight="1">
      <c r="A95" s="121" t="s">
        <v>142</v>
      </c>
      <c r="B95" s="87">
        <v>503</v>
      </c>
      <c r="C95" s="49" t="s">
        <v>45</v>
      </c>
      <c r="D95" s="49" t="s">
        <v>10</v>
      </c>
      <c r="E95" s="51" t="s">
        <v>276</v>
      </c>
      <c r="F95" s="49" t="s">
        <v>129</v>
      </c>
      <c r="G95" s="47"/>
      <c r="H95" s="47"/>
      <c r="I95" s="270">
        <v>150</v>
      </c>
      <c r="J95" s="270">
        <v>0</v>
      </c>
      <c r="K95" s="263">
        <f t="shared" si="3"/>
        <v>0</v>
      </c>
    </row>
    <row r="96" spans="1:11" ht="35.25" customHeight="1">
      <c r="A96" s="208" t="s">
        <v>222</v>
      </c>
      <c r="B96" s="104">
        <v>503</v>
      </c>
      <c r="C96" s="21" t="s">
        <v>45</v>
      </c>
      <c r="D96" s="21" t="s">
        <v>45</v>
      </c>
      <c r="E96" s="179" t="s">
        <v>29</v>
      </c>
      <c r="F96" s="21" t="s">
        <v>7</v>
      </c>
      <c r="G96" s="46"/>
      <c r="H96" s="46"/>
      <c r="I96" s="263">
        <f>I97</f>
        <v>9</v>
      </c>
      <c r="J96" s="263">
        <f>J97</f>
        <v>0</v>
      </c>
      <c r="K96" s="263">
        <f t="shared" si="3"/>
        <v>0</v>
      </c>
    </row>
    <row r="97" spans="1:11" ht="74.25" customHeight="1">
      <c r="A97" s="204" t="s">
        <v>223</v>
      </c>
      <c r="B97" s="87">
        <v>503</v>
      </c>
      <c r="C97" s="49" t="s">
        <v>45</v>
      </c>
      <c r="D97" s="49" t="s">
        <v>45</v>
      </c>
      <c r="E97" s="51" t="s">
        <v>224</v>
      </c>
      <c r="F97" s="49" t="s">
        <v>7</v>
      </c>
      <c r="G97" s="46"/>
      <c r="H97" s="46"/>
      <c r="I97" s="264">
        <f>I98</f>
        <v>9</v>
      </c>
      <c r="J97" s="264">
        <f>J98</f>
        <v>0</v>
      </c>
      <c r="K97" s="263">
        <f t="shared" si="3"/>
        <v>0</v>
      </c>
    </row>
    <row r="98" spans="1:11" ht="36.75" customHeight="1">
      <c r="A98" s="121" t="s">
        <v>142</v>
      </c>
      <c r="B98" s="87">
        <v>503</v>
      </c>
      <c r="C98" s="49" t="s">
        <v>45</v>
      </c>
      <c r="D98" s="49" t="s">
        <v>45</v>
      </c>
      <c r="E98" s="51" t="s">
        <v>224</v>
      </c>
      <c r="F98" s="51" t="s">
        <v>129</v>
      </c>
      <c r="G98" s="23"/>
      <c r="H98" s="23"/>
      <c r="I98" s="270">
        <v>9</v>
      </c>
      <c r="J98" s="314">
        <v>0</v>
      </c>
      <c r="K98" s="263">
        <f t="shared" si="3"/>
        <v>0</v>
      </c>
    </row>
    <row r="99" spans="1:11" ht="29.25" customHeight="1">
      <c r="A99" s="217" t="s">
        <v>12</v>
      </c>
      <c r="B99" s="102" t="s">
        <v>49</v>
      </c>
      <c r="C99" s="102" t="s">
        <v>11</v>
      </c>
      <c r="D99" s="102" t="s">
        <v>16</v>
      </c>
      <c r="E99" s="179" t="s">
        <v>29</v>
      </c>
      <c r="F99" s="180" t="s">
        <v>7</v>
      </c>
      <c r="G99" s="181"/>
      <c r="H99" s="181"/>
      <c r="I99" s="263">
        <f aca="true" t="shared" si="4" ref="I99:J101">I100</f>
        <v>50.4</v>
      </c>
      <c r="J99" s="263">
        <f t="shared" si="4"/>
        <v>50.4</v>
      </c>
      <c r="K99" s="263">
        <f t="shared" si="3"/>
        <v>100</v>
      </c>
    </row>
    <row r="100" spans="1:11" ht="36.75" customHeight="1">
      <c r="A100" s="157" t="s">
        <v>27</v>
      </c>
      <c r="B100" s="50" t="s">
        <v>49</v>
      </c>
      <c r="C100" s="50" t="s">
        <v>11</v>
      </c>
      <c r="D100" s="50" t="s">
        <v>11</v>
      </c>
      <c r="E100" s="51" t="s">
        <v>29</v>
      </c>
      <c r="F100" s="52" t="s">
        <v>7</v>
      </c>
      <c r="G100" s="23"/>
      <c r="H100" s="23"/>
      <c r="I100" s="264">
        <f t="shared" si="4"/>
        <v>50.4</v>
      </c>
      <c r="J100" s="264">
        <f t="shared" si="4"/>
        <v>50.4</v>
      </c>
      <c r="K100" s="263">
        <f t="shared" si="3"/>
        <v>100</v>
      </c>
    </row>
    <row r="101" spans="1:11" ht="31.5" customHeight="1">
      <c r="A101" s="204" t="s">
        <v>0</v>
      </c>
      <c r="B101" s="50" t="s">
        <v>49</v>
      </c>
      <c r="C101" s="50" t="s">
        <v>11</v>
      </c>
      <c r="D101" s="50" t="s">
        <v>11</v>
      </c>
      <c r="E101" s="51" t="s">
        <v>220</v>
      </c>
      <c r="F101" s="52" t="s">
        <v>7</v>
      </c>
      <c r="G101" s="23"/>
      <c r="H101" s="23"/>
      <c r="I101" s="264">
        <f t="shared" si="4"/>
        <v>50.4</v>
      </c>
      <c r="J101" s="264">
        <f t="shared" si="4"/>
        <v>50.4</v>
      </c>
      <c r="K101" s="263">
        <f t="shared" si="3"/>
        <v>100</v>
      </c>
    </row>
    <row r="102" spans="1:19" ht="40.5" customHeight="1">
      <c r="A102" s="121" t="s">
        <v>142</v>
      </c>
      <c r="B102" s="50" t="s">
        <v>49</v>
      </c>
      <c r="C102" s="50" t="s">
        <v>11</v>
      </c>
      <c r="D102" s="50" t="s">
        <v>11</v>
      </c>
      <c r="E102" s="51" t="s">
        <v>220</v>
      </c>
      <c r="F102" s="52" t="s">
        <v>129</v>
      </c>
      <c r="G102" s="23"/>
      <c r="H102" s="23"/>
      <c r="I102" s="264">
        <v>50.4</v>
      </c>
      <c r="J102" s="264">
        <v>50.4</v>
      </c>
      <c r="K102" s="263">
        <f t="shared" si="3"/>
        <v>100</v>
      </c>
      <c r="S102" t="s">
        <v>314</v>
      </c>
    </row>
    <row r="103" spans="1:11" ht="23.25" customHeight="1">
      <c r="A103" s="216" t="s">
        <v>120</v>
      </c>
      <c r="B103" s="115" t="s">
        <v>49</v>
      </c>
      <c r="C103" s="67" t="s">
        <v>22</v>
      </c>
      <c r="D103" s="67" t="s">
        <v>16</v>
      </c>
      <c r="E103" s="67" t="s">
        <v>29</v>
      </c>
      <c r="F103" s="67" t="s">
        <v>7</v>
      </c>
      <c r="G103" s="23"/>
      <c r="H103" s="23"/>
      <c r="I103" s="263">
        <f aca="true" t="shared" si="5" ref="I103:J105">I104</f>
        <v>204.7</v>
      </c>
      <c r="J103" s="263">
        <f t="shared" si="5"/>
        <v>204.7</v>
      </c>
      <c r="K103" s="263">
        <f t="shared" si="3"/>
        <v>100</v>
      </c>
    </row>
    <row r="104" spans="1:11" ht="30" customHeight="1">
      <c r="A104" s="204" t="s">
        <v>122</v>
      </c>
      <c r="B104" s="50" t="s">
        <v>49</v>
      </c>
      <c r="C104" s="50" t="s">
        <v>22</v>
      </c>
      <c r="D104" s="50" t="s">
        <v>22</v>
      </c>
      <c r="E104" s="51" t="s">
        <v>29</v>
      </c>
      <c r="F104" s="52" t="s">
        <v>7</v>
      </c>
      <c r="G104" s="23"/>
      <c r="H104" s="23"/>
      <c r="I104" s="264">
        <f t="shared" si="5"/>
        <v>204.7</v>
      </c>
      <c r="J104" s="264">
        <f t="shared" si="5"/>
        <v>204.7</v>
      </c>
      <c r="K104" s="263">
        <f t="shared" si="3"/>
        <v>100</v>
      </c>
    </row>
    <row r="105" spans="1:11" ht="41.25" customHeight="1">
      <c r="A105" s="204" t="s">
        <v>152</v>
      </c>
      <c r="B105" s="50" t="s">
        <v>151</v>
      </c>
      <c r="C105" s="50" t="s">
        <v>22</v>
      </c>
      <c r="D105" s="50" t="s">
        <v>22</v>
      </c>
      <c r="E105" s="51" t="s">
        <v>253</v>
      </c>
      <c r="F105" s="52" t="s">
        <v>7</v>
      </c>
      <c r="G105" s="23"/>
      <c r="H105" s="23"/>
      <c r="I105" s="264">
        <f t="shared" si="5"/>
        <v>204.7</v>
      </c>
      <c r="J105" s="264">
        <f t="shared" si="5"/>
        <v>204.7</v>
      </c>
      <c r="K105" s="263">
        <f t="shared" si="3"/>
        <v>100</v>
      </c>
    </row>
    <row r="106" spans="1:11" ht="34.5" customHeight="1">
      <c r="A106" s="121" t="s">
        <v>142</v>
      </c>
      <c r="B106" s="50" t="s">
        <v>151</v>
      </c>
      <c r="C106" s="50" t="s">
        <v>22</v>
      </c>
      <c r="D106" s="50" t="s">
        <v>22</v>
      </c>
      <c r="E106" s="51" t="s">
        <v>253</v>
      </c>
      <c r="F106" s="52" t="s">
        <v>129</v>
      </c>
      <c r="G106" s="23"/>
      <c r="H106" s="23"/>
      <c r="I106" s="264">
        <f>200+4.7</f>
        <v>204.7</v>
      </c>
      <c r="J106" s="264">
        <v>204.7</v>
      </c>
      <c r="K106" s="263">
        <f t="shared" si="3"/>
        <v>100</v>
      </c>
    </row>
    <row r="107" spans="1:11" ht="23.25" customHeight="1">
      <c r="A107" s="215" t="s">
        <v>40</v>
      </c>
      <c r="B107" s="189" t="s">
        <v>49</v>
      </c>
      <c r="C107" s="190" t="s">
        <v>23</v>
      </c>
      <c r="D107" s="190" t="s">
        <v>16</v>
      </c>
      <c r="E107" s="190" t="s">
        <v>29</v>
      </c>
      <c r="F107" s="191" t="s">
        <v>7</v>
      </c>
      <c r="G107" s="192" t="e">
        <f>G108+G112</f>
        <v>#REF!</v>
      </c>
      <c r="H107" s="192" t="e">
        <f>H108+H112</f>
        <v>#REF!</v>
      </c>
      <c r="I107" s="263">
        <f>I108+I112</f>
        <v>9080.137</v>
      </c>
      <c r="J107" s="263">
        <f>J108+J112</f>
        <v>8454</v>
      </c>
      <c r="K107" s="263">
        <f t="shared" si="3"/>
        <v>93.10432210439114</v>
      </c>
    </row>
    <row r="108" spans="1:11" ht="26.25" customHeight="1">
      <c r="A108" s="215" t="s">
        <v>43</v>
      </c>
      <c r="B108" s="243" t="s">
        <v>49</v>
      </c>
      <c r="C108" s="244" t="s">
        <v>23</v>
      </c>
      <c r="D108" s="244" t="s">
        <v>8</v>
      </c>
      <c r="E108" s="244" t="s">
        <v>29</v>
      </c>
      <c r="F108" s="245" t="s">
        <v>7</v>
      </c>
      <c r="G108" s="54">
        <f aca="true" t="shared" si="6" ref="G108:J110">G109</f>
        <v>0</v>
      </c>
      <c r="H108" s="54">
        <f t="shared" si="6"/>
        <v>60</v>
      </c>
      <c r="I108" s="263">
        <f t="shared" si="6"/>
        <v>1250.4</v>
      </c>
      <c r="J108" s="263">
        <f t="shared" si="6"/>
        <v>1065.8</v>
      </c>
      <c r="K108" s="263">
        <f t="shared" si="3"/>
        <v>85.23672424824056</v>
      </c>
    </row>
    <row r="109" spans="1:11" ht="33" customHeight="1">
      <c r="A109" s="218" t="s">
        <v>73</v>
      </c>
      <c r="B109" s="110" t="s">
        <v>49</v>
      </c>
      <c r="C109" s="55" t="s">
        <v>23</v>
      </c>
      <c r="D109" s="55" t="s">
        <v>8</v>
      </c>
      <c r="E109" s="55" t="s">
        <v>74</v>
      </c>
      <c r="F109" s="52" t="s">
        <v>7</v>
      </c>
      <c r="G109" s="56">
        <f t="shared" si="6"/>
        <v>0</v>
      </c>
      <c r="H109" s="56">
        <f t="shared" si="6"/>
        <v>60</v>
      </c>
      <c r="I109" s="264">
        <f t="shared" si="6"/>
        <v>1250.4</v>
      </c>
      <c r="J109" s="264">
        <f t="shared" si="6"/>
        <v>1065.8</v>
      </c>
      <c r="K109" s="263">
        <f t="shared" si="3"/>
        <v>85.23672424824056</v>
      </c>
    </row>
    <row r="110" spans="1:11" ht="31.5" customHeight="1">
      <c r="A110" s="218" t="s">
        <v>75</v>
      </c>
      <c r="B110" s="110" t="s">
        <v>49</v>
      </c>
      <c r="C110" s="55" t="s">
        <v>23</v>
      </c>
      <c r="D110" s="55" t="s">
        <v>8</v>
      </c>
      <c r="E110" s="55" t="s">
        <v>76</v>
      </c>
      <c r="F110" s="52" t="s">
        <v>7</v>
      </c>
      <c r="G110" s="56">
        <f t="shared" si="6"/>
        <v>0</v>
      </c>
      <c r="H110" s="56">
        <f t="shared" si="6"/>
        <v>60</v>
      </c>
      <c r="I110" s="264">
        <f t="shared" si="6"/>
        <v>1250.4</v>
      </c>
      <c r="J110" s="264">
        <f t="shared" si="6"/>
        <v>1065.8</v>
      </c>
      <c r="K110" s="263">
        <f t="shared" si="3"/>
        <v>85.23672424824056</v>
      </c>
    </row>
    <row r="111" spans="1:19" ht="25.5" customHeight="1">
      <c r="A111" s="212" t="s">
        <v>140</v>
      </c>
      <c r="B111" s="110" t="s">
        <v>49</v>
      </c>
      <c r="C111" s="55" t="s">
        <v>23</v>
      </c>
      <c r="D111" s="55" t="s">
        <v>8</v>
      </c>
      <c r="E111" s="55" t="s">
        <v>76</v>
      </c>
      <c r="F111" s="52" t="s">
        <v>139</v>
      </c>
      <c r="G111" s="56"/>
      <c r="H111" s="56">
        <v>60</v>
      </c>
      <c r="I111" s="264">
        <v>1250.4</v>
      </c>
      <c r="J111" s="264">
        <v>1065.8</v>
      </c>
      <c r="K111" s="263">
        <f t="shared" si="3"/>
        <v>85.23672424824056</v>
      </c>
      <c r="S111" t="s">
        <v>315</v>
      </c>
    </row>
    <row r="112" spans="1:11" ht="25.5" customHeight="1">
      <c r="A112" s="215" t="s">
        <v>41</v>
      </c>
      <c r="B112" s="243" t="s">
        <v>49</v>
      </c>
      <c r="C112" s="244" t="s">
        <v>23</v>
      </c>
      <c r="D112" s="244" t="s">
        <v>24</v>
      </c>
      <c r="E112" s="244" t="s">
        <v>29</v>
      </c>
      <c r="F112" s="245" t="s">
        <v>7</v>
      </c>
      <c r="G112" s="57" t="e">
        <f>G120</f>
        <v>#REF!</v>
      </c>
      <c r="H112" s="57" t="e">
        <f>H120</f>
        <v>#REF!</v>
      </c>
      <c r="I112" s="263">
        <f>I120+I124+I115+I113</f>
        <v>7829.737</v>
      </c>
      <c r="J112" s="263">
        <f>J120+J124+J115+J113</f>
        <v>7388.2</v>
      </c>
      <c r="K112" s="263">
        <f t="shared" si="3"/>
        <v>94.36076843960404</v>
      </c>
    </row>
    <row r="113" spans="1:11" ht="30.75" customHeight="1">
      <c r="A113" s="212" t="s">
        <v>86</v>
      </c>
      <c r="B113" s="110" t="s">
        <v>49</v>
      </c>
      <c r="C113" s="55" t="s">
        <v>23</v>
      </c>
      <c r="D113" s="55" t="s">
        <v>24</v>
      </c>
      <c r="E113" s="55" t="s">
        <v>103</v>
      </c>
      <c r="F113" s="52" t="s">
        <v>7</v>
      </c>
      <c r="G113" s="56"/>
      <c r="H113" s="56"/>
      <c r="I113" s="264">
        <f>I114</f>
        <v>35</v>
      </c>
      <c r="J113" s="264">
        <f>J114</f>
        <v>35</v>
      </c>
      <c r="K113" s="263">
        <f t="shared" si="3"/>
        <v>100</v>
      </c>
    </row>
    <row r="114" spans="1:11" ht="29.25" customHeight="1">
      <c r="A114" s="212" t="s">
        <v>146</v>
      </c>
      <c r="B114" s="110" t="s">
        <v>49</v>
      </c>
      <c r="C114" s="55" t="s">
        <v>23</v>
      </c>
      <c r="D114" s="55" t="s">
        <v>24</v>
      </c>
      <c r="E114" s="55" t="s">
        <v>103</v>
      </c>
      <c r="F114" s="52" t="s">
        <v>134</v>
      </c>
      <c r="G114" s="56"/>
      <c r="H114" s="56"/>
      <c r="I114" s="264">
        <f>30+5</f>
        <v>35</v>
      </c>
      <c r="J114" s="264">
        <v>35</v>
      </c>
      <c r="K114" s="263">
        <f t="shared" si="3"/>
        <v>100</v>
      </c>
    </row>
    <row r="115" spans="1:11" ht="34.5" customHeight="1">
      <c r="A115" s="157" t="s">
        <v>175</v>
      </c>
      <c r="B115" s="110" t="s">
        <v>49</v>
      </c>
      <c r="C115" s="55" t="s">
        <v>23</v>
      </c>
      <c r="D115" s="55" t="s">
        <v>24</v>
      </c>
      <c r="E115" s="55" t="s">
        <v>254</v>
      </c>
      <c r="F115" s="52" t="s">
        <v>7</v>
      </c>
      <c r="G115" s="57"/>
      <c r="H115" s="57"/>
      <c r="I115" s="263">
        <f>I117+I119</f>
        <v>4563.504</v>
      </c>
      <c r="J115" s="263">
        <f>J117+J119</f>
        <v>4541.7</v>
      </c>
      <c r="K115" s="263">
        <f t="shared" si="3"/>
        <v>99.52220924973442</v>
      </c>
    </row>
    <row r="116" spans="1:11" ht="61.5" customHeight="1">
      <c r="A116" s="204" t="s">
        <v>174</v>
      </c>
      <c r="B116" s="145">
        <v>503</v>
      </c>
      <c r="C116" s="146" t="s">
        <v>23</v>
      </c>
      <c r="D116" s="146" t="s">
        <v>24</v>
      </c>
      <c r="E116" s="146" t="s">
        <v>255</v>
      </c>
      <c r="F116" s="146" t="s">
        <v>7</v>
      </c>
      <c r="G116" s="57"/>
      <c r="H116" s="57"/>
      <c r="I116" s="270">
        <f>I117</f>
        <v>1148.523</v>
      </c>
      <c r="J116" s="270">
        <f>J117</f>
        <v>1148.5</v>
      </c>
      <c r="K116" s="263">
        <f t="shared" si="3"/>
        <v>99.99799742800101</v>
      </c>
    </row>
    <row r="117" spans="1:11" ht="48" customHeight="1">
      <c r="A117" s="230" t="s">
        <v>226</v>
      </c>
      <c r="B117" s="250">
        <v>503</v>
      </c>
      <c r="C117" s="251" t="s">
        <v>23</v>
      </c>
      <c r="D117" s="251" t="s">
        <v>24</v>
      </c>
      <c r="E117" s="251" t="s">
        <v>255</v>
      </c>
      <c r="F117" s="252" t="s">
        <v>225</v>
      </c>
      <c r="G117" s="57"/>
      <c r="H117" s="57"/>
      <c r="I117" s="270">
        <v>1148.523</v>
      </c>
      <c r="J117" s="270">
        <v>1148.5</v>
      </c>
      <c r="K117" s="263">
        <f t="shared" si="3"/>
        <v>99.99799742800101</v>
      </c>
    </row>
    <row r="118" spans="1:11" ht="63.75" customHeight="1">
      <c r="A118" s="204" t="s">
        <v>277</v>
      </c>
      <c r="B118" s="147">
        <v>503</v>
      </c>
      <c r="C118" s="146" t="s">
        <v>23</v>
      </c>
      <c r="D118" s="146" t="s">
        <v>24</v>
      </c>
      <c r="E118" s="146" t="s">
        <v>278</v>
      </c>
      <c r="F118" s="252" t="s">
        <v>7</v>
      </c>
      <c r="G118" s="57"/>
      <c r="H118" s="57"/>
      <c r="I118" s="270">
        <f>I119</f>
        <v>3414.981</v>
      </c>
      <c r="J118" s="270">
        <f>J119</f>
        <v>3393.2</v>
      </c>
      <c r="K118" s="263">
        <f t="shared" si="3"/>
        <v>99.36219264470284</v>
      </c>
    </row>
    <row r="119" spans="1:11" ht="51.75" customHeight="1">
      <c r="A119" s="230" t="s">
        <v>226</v>
      </c>
      <c r="B119" s="147">
        <v>503</v>
      </c>
      <c r="C119" s="146" t="s">
        <v>23</v>
      </c>
      <c r="D119" s="146" t="s">
        <v>24</v>
      </c>
      <c r="E119" s="146" t="s">
        <v>278</v>
      </c>
      <c r="F119" s="148" t="s">
        <v>225</v>
      </c>
      <c r="G119" s="57"/>
      <c r="H119" s="57"/>
      <c r="I119" s="270">
        <f>118+1705.673+1563.408+27.9</f>
        <v>3414.981</v>
      </c>
      <c r="J119" s="321">
        <v>3393.2</v>
      </c>
      <c r="K119" s="263">
        <f t="shared" si="3"/>
        <v>99.36219264470284</v>
      </c>
    </row>
    <row r="120" spans="1:11" ht="25.5" customHeight="1">
      <c r="A120" s="229" t="s">
        <v>83</v>
      </c>
      <c r="B120" s="110" t="s">
        <v>49</v>
      </c>
      <c r="C120" s="55" t="s">
        <v>23</v>
      </c>
      <c r="D120" s="55" t="s">
        <v>24</v>
      </c>
      <c r="E120" s="55" t="s">
        <v>198</v>
      </c>
      <c r="F120" s="52" t="s">
        <v>7</v>
      </c>
      <c r="G120" s="56" t="e">
        <f>G121</f>
        <v>#REF!</v>
      </c>
      <c r="H120" s="56" t="e">
        <f>H121</f>
        <v>#REF!</v>
      </c>
      <c r="I120" s="270">
        <f>I121</f>
        <v>540</v>
      </c>
      <c r="J120" s="270">
        <f>J121</f>
        <v>159.2</v>
      </c>
      <c r="K120" s="263">
        <f t="shared" si="3"/>
        <v>29.48148148148148</v>
      </c>
    </row>
    <row r="121" spans="1:11" ht="30.75" customHeight="1">
      <c r="A121" s="218" t="s">
        <v>25</v>
      </c>
      <c r="B121" s="110" t="s">
        <v>49</v>
      </c>
      <c r="C121" s="55" t="s">
        <v>23</v>
      </c>
      <c r="D121" s="55" t="s">
        <v>24</v>
      </c>
      <c r="E121" s="55" t="s">
        <v>256</v>
      </c>
      <c r="F121" s="52" t="s">
        <v>7</v>
      </c>
      <c r="G121" s="56" t="e">
        <f>#REF!+#REF!</f>
        <v>#REF!</v>
      </c>
      <c r="H121" s="56" t="e">
        <f>#REF!</f>
        <v>#REF!</v>
      </c>
      <c r="I121" s="270">
        <f>I122+I123</f>
        <v>540</v>
      </c>
      <c r="J121" s="270">
        <f>J122+J123</f>
        <v>159.2</v>
      </c>
      <c r="K121" s="263">
        <f t="shared" si="3"/>
        <v>29.48148148148148</v>
      </c>
    </row>
    <row r="122" spans="1:11" ht="37.5" customHeight="1">
      <c r="A122" s="121" t="s">
        <v>142</v>
      </c>
      <c r="B122" s="110" t="s">
        <v>49</v>
      </c>
      <c r="C122" s="55" t="s">
        <v>23</v>
      </c>
      <c r="D122" s="55" t="s">
        <v>24</v>
      </c>
      <c r="E122" s="55" t="s">
        <v>256</v>
      </c>
      <c r="F122" s="51" t="s">
        <v>129</v>
      </c>
      <c r="G122" s="56"/>
      <c r="H122" s="56"/>
      <c r="I122" s="270">
        <v>80</v>
      </c>
      <c r="J122" s="270">
        <v>32.5</v>
      </c>
      <c r="K122" s="263">
        <f t="shared" si="3"/>
        <v>40.625</v>
      </c>
    </row>
    <row r="123" spans="1:11" ht="42.75" customHeight="1">
      <c r="A123" s="204" t="s">
        <v>273</v>
      </c>
      <c r="B123" s="110" t="s">
        <v>49</v>
      </c>
      <c r="C123" s="55" t="s">
        <v>23</v>
      </c>
      <c r="D123" s="55" t="s">
        <v>24</v>
      </c>
      <c r="E123" s="55" t="s">
        <v>256</v>
      </c>
      <c r="F123" s="51" t="s">
        <v>274</v>
      </c>
      <c r="G123" s="56"/>
      <c r="H123" s="56"/>
      <c r="I123" s="270">
        <v>460</v>
      </c>
      <c r="J123" s="270">
        <v>126.7</v>
      </c>
      <c r="K123" s="263">
        <f t="shared" si="3"/>
        <v>27.543478260869563</v>
      </c>
    </row>
    <row r="124" spans="1:11" ht="28.5" customHeight="1">
      <c r="A124" s="208" t="s">
        <v>153</v>
      </c>
      <c r="B124" s="246" t="s">
        <v>49</v>
      </c>
      <c r="C124" s="247" t="s">
        <v>23</v>
      </c>
      <c r="D124" s="247" t="s">
        <v>24</v>
      </c>
      <c r="E124" s="247" t="s">
        <v>257</v>
      </c>
      <c r="F124" s="180" t="s">
        <v>7</v>
      </c>
      <c r="G124" s="248"/>
      <c r="H124" s="248"/>
      <c r="I124" s="263">
        <f>I125</f>
        <v>2691.233</v>
      </c>
      <c r="J124" s="263">
        <f>J125</f>
        <v>2652.3</v>
      </c>
      <c r="K124" s="263">
        <f t="shared" si="3"/>
        <v>98.5533396773895</v>
      </c>
    </row>
    <row r="125" spans="1:11" ht="45" customHeight="1">
      <c r="A125" s="218" t="s">
        <v>143</v>
      </c>
      <c r="B125" s="110" t="s">
        <v>49</v>
      </c>
      <c r="C125" s="55" t="s">
        <v>23</v>
      </c>
      <c r="D125" s="55" t="s">
        <v>24</v>
      </c>
      <c r="E125" s="55" t="s">
        <v>267</v>
      </c>
      <c r="F125" s="52" t="s">
        <v>7</v>
      </c>
      <c r="G125" s="56"/>
      <c r="H125" s="56"/>
      <c r="I125" s="270">
        <f>I127+I130</f>
        <v>2691.233</v>
      </c>
      <c r="J125" s="270">
        <f>J127+J130</f>
        <v>2652.3</v>
      </c>
      <c r="K125" s="263">
        <f t="shared" si="3"/>
        <v>98.5533396773895</v>
      </c>
    </row>
    <row r="126" spans="1:11" ht="66.75" customHeight="1">
      <c r="A126" s="16" t="s">
        <v>268</v>
      </c>
      <c r="B126" s="110" t="s">
        <v>49</v>
      </c>
      <c r="C126" s="55" t="s">
        <v>23</v>
      </c>
      <c r="D126" s="55" t="s">
        <v>24</v>
      </c>
      <c r="E126" s="55" t="s">
        <v>227</v>
      </c>
      <c r="F126" s="52" t="s">
        <v>7</v>
      </c>
      <c r="G126" s="56"/>
      <c r="H126" s="56"/>
      <c r="I126" s="270">
        <f>I127</f>
        <v>976.722</v>
      </c>
      <c r="J126" s="270">
        <f>J127</f>
        <v>965.5</v>
      </c>
      <c r="K126" s="263">
        <f t="shared" si="3"/>
        <v>98.85105485491266</v>
      </c>
    </row>
    <row r="127" spans="1:11" ht="61.5" customHeight="1">
      <c r="A127" s="204" t="s">
        <v>226</v>
      </c>
      <c r="B127" s="110" t="s">
        <v>49</v>
      </c>
      <c r="C127" s="55" t="s">
        <v>23</v>
      </c>
      <c r="D127" s="55" t="s">
        <v>24</v>
      </c>
      <c r="E127" s="55" t="s">
        <v>227</v>
      </c>
      <c r="F127" s="52" t="s">
        <v>225</v>
      </c>
      <c r="G127" s="56"/>
      <c r="H127" s="56"/>
      <c r="I127" s="270">
        <f>1830+80-973.578+40.3</f>
        <v>976.722</v>
      </c>
      <c r="J127" s="270">
        <v>965.5</v>
      </c>
      <c r="K127" s="263">
        <f t="shared" si="3"/>
        <v>98.85105485491266</v>
      </c>
    </row>
    <row r="128" spans="1:11" ht="69" customHeight="1">
      <c r="A128" s="16" t="s">
        <v>241</v>
      </c>
      <c r="B128" s="110" t="s">
        <v>49</v>
      </c>
      <c r="C128" s="55" t="s">
        <v>23</v>
      </c>
      <c r="D128" s="55" t="s">
        <v>24</v>
      </c>
      <c r="E128" s="55" t="s">
        <v>227</v>
      </c>
      <c r="F128" s="52" t="s">
        <v>225</v>
      </c>
      <c r="G128" s="56"/>
      <c r="H128" s="56"/>
      <c r="I128" s="270">
        <f>80-27.7</f>
        <v>52.3</v>
      </c>
      <c r="J128" s="56"/>
      <c r="K128" s="263">
        <f t="shared" si="3"/>
        <v>0</v>
      </c>
    </row>
    <row r="129" spans="1:11" ht="69" customHeight="1">
      <c r="A129" s="139" t="s">
        <v>174</v>
      </c>
      <c r="B129" s="193" t="s">
        <v>49</v>
      </c>
      <c r="C129" s="169" t="s">
        <v>23</v>
      </c>
      <c r="D129" s="169" t="s">
        <v>24</v>
      </c>
      <c r="E129" s="169" t="s">
        <v>242</v>
      </c>
      <c r="F129" s="194" t="s">
        <v>7</v>
      </c>
      <c r="G129" s="195"/>
      <c r="H129" s="195"/>
      <c r="I129" s="270">
        <f>I130</f>
        <v>1714.511</v>
      </c>
      <c r="J129" s="270">
        <f>J130</f>
        <v>1686.8</v>
      </c>
      <c r="K129" s="263">
        <f t="shared" si="3"/>
        <v>98.38373740384284</v>
      </c>
    </row>
    <row r="130" spans="1:11" ht="52.5" customHeight="1">
      <c r="A130" s="230" t="s">
        <v>265</v>
      </c>
      <c r="B130" s="193" t="s">
        <v>49</v>
      </c>
      <c r="C130" s="169" t="s">
        <v>23</v>
      </c>
      <c r="D130" s="169" t="s">
        <v>24</v>
      </c>
      <c r="E130" s="169" t="s">
        <v>242</v>
      </c>
      <c r="F130" s="194" t="s">
        <v>225</v>
      </c>
      <c r="G130" s="195"/>
      <c r="H130" s="195"/>
      <c r="I130" s="270">
        <f>1567.411+147.1</f>
        <v>1714.511</v>
      </c>
      <c r="J130" s="270">
        <v>1686.8</v>
      </c>
      <c r="K130" s="263">
        <f t="shared" si="3"/>
        <v>98.38373740384284</v>
      </c>
    </row>
    <row r="131" spans="1:11" ht="86.25" customHeight="1">
      <c r="A131" s="139" t="s">
        <v>295</v>
      </c>
      <c r="B131" s="193" t="s">
        <v>49</v>
      </c>
      <c r="C131" s="169" t="s">
        <v>23</v>
      </c>
      <c r="D131" s="169" t="s">
        <v>24</v>
      </c>
      <c r="E131" s="169" t="s">
        <v>242</v>
      </c>
      <c r="F131" s="194" t="s">
        <v>225</v>
      </c>
      <c r="G131" s="195"/>
      <c r="H131" s="195"/>
      <c r="I131" s="270">
        <v>27.7</v>
      </c>
      <c r="J131" s="195"/>
      <c r="K131" s="263">
        <f t="shared" si="3"/>
        <v>0</v>
      </c>
    </row>
    <row r="132" spans="1:11" ht="30" customHeight="1">
      <c r="A132" s="231" t="s">
        <v>118</v>
      </c>
      <c r="B132" s="109" t="s">
        <v>49</v>
      </c>
      <c r="C132" s="90" t="s">
        <v>54</v>
      </c>
      <c r="D132" s="90" t="s">
        <v>16</v>
      </c>
      <c r="E132" s="90" t="s">
        <v>29</v>
      </c>
      <c r="F132" s="93" t="s">
        <v>7</v>
      </c>
      <c r="G132" s="56"/>
      <c r="H132" s="56"/>
      <c r="I132" s="263">
        <f aca="true" t="shared" si="7" ref="I132:J134">I133</f>
        <v>90</v>
      </c>
      <c r="J132" s="263">
        <f t="shared" si="7"/>
        <v>69.7</v>
      </c>
      <c r="K132" s="263">
        <f t="shared" si="3"/>
        <v>77.44444444444444</v>
      </c>
    </row>
    <row r="133" spans="1:11" ht="30" customHeight="1">
      <c r="A133" s="208" t="s">
        <v>99</v>
      </c>
      <c r="B133" s="50" t="s">
        <v>49</v>
      </c>
      <c r="C133" s="85" t="s">
        <v>54</v>
      </c>
      <c r="D133" s="49" t="s">
        <v>10</v>
      </c>
      <c r="E133" s="49" t="s">
        <v>29</v>
      </c>
      <c r="F133" s="51" t="s">
        <v>7</v>
      </c>
      <c r="G133" s="56"/>
      <c r="H133" s="56"/>
      <c r="I133" s="264">
        <f t="shared" si="7"/>
        <v>90</v>
      </c>
      <c r="J133" s="264">
        <f t="shared" si="7"/>
        <v>69.7</v>
      </c>
      <c r="K133" s="263">
        <f t="shared" si="3"/>
        <v>77.44444444444444</v>
      </c>
    </row>
    <row r="134" spans="1:11" ht="53.25" customHeight="1">
      <c r="A134" s="204" t="s">
        <v>100</v>
      </c>
      <c r="B134" s="50" t="s">
        <v>49</v>
      </c>
      <c r="C134" s="85" t="s">
        <v>54</v>
      </c>
      <c r="D134" s="49" t="s">
        <v>10</v>
      </c>
      <c r="E134" s="49" t="s">
        <v>258</v>
      </c>
      <c r="F134" s="51" t="s">
        <v>7</v>
      </c>
      <c r="G134" s="56"/>
      <c r="H134" s="56"/>
      <c r="I134" s="264">
        <f t="shared" si="7"/>
        <v>90</v>
      </c>
      <c r="J134" s="264">
        <f t="shared" si="7"/>
        <v>69.7</v>
      </c>
      <c r="K134" s="263">
        <f t="shared" si="3"/>
        <v>77.44444444444444</v>
      </c>
    </row>
    <row r="135" spans="1:11" ht="39" customHeight="1">
      <c r="A135" s="121" t="s">
        <v>142</v>
      </c>
      <c r="B135" s="50" t="s">
        <v>49</v>
      </c>
      <c r="C135" s="85" t="s">
        <v>54</v>
      </c>
      <c r="D135" s="49" t="s">
        <v>10</v>
      </c>
      <c r="E135" s="49" t="s">
        <v>258</v>
      </c>
      <c r="F135" s="51" t="s">
        <v>129</v>
      </c>
      <c r="G135" s="56"/>
      <c r="H135" s="56"/>
      <c r="I135" s="264">
        <f>100-10</f>
        <v>90</v>
      </c>
      <c r="J135" s="264">
        <v>69.7</v>
      </c>
      <c r="K135" s="263">
        <f t="shared" si="3"/>
        <v>77.44444444444444</v>
      </c>
    </row>
    <row r="136" spans="1:11" ht="51" customHeight="1">
      <c r="A136" s="205" t="s">
        <v>123</v>
      </c>
      <c r="B136" s="133" t="s">
        <v>91</v>
      </c>
      <c r="C136" s="134" t="s">
        <v>16</v>
      </c>
      <c r="D136" s="134" t="s">
        <v>16</v>
      </c>
      <c r="E136" s="134" t="s">
        <v>29</v>
      </c>
      <c r="F136" s="134" t="s">
        <v>7</v>
      </c>
      <c r="G136" s="135" t="e">
        <f>G137+G161+#REF!</f>
        <v>#REF!</v>
      </c>
      <c r="H136" s="135" t="e">
        <f>H137+H161+#REF!</f>
        <v>#REF!</v>
      </c>
      <c r="I136" s="263">
        <f>I137+I147+I158+I161+I144+I152</f>
        <v>32223.93</v>
      </c>
      <c r="J136" s="263">
        <f>J137+J147+J158+J161+J144+J152</f>
        <v>14755.3</v>
      </c>
      <c r="K136" s="263">
        <f t="shared" si="3"/>
        <v>45.78988348100309</v>
      </c>
    </row>
    <row r="137" spans="1:11" ht="59.25" customHeight="1">
      <c r="A137" s="219" t="s">
        <v>104</v>
      </c>
      <c r="B137" s="105" t="s">
        <v>91</v>
      </c>
      <c r="C137" s="29" t="s">
        <v>8</v>
      </c>
      <c r="D137" s="29" t="s">
        <v>9</v>
      </c>
      <c r="E137" s="29" t="s">
        <v>29</v>
      </c>
      <c r="F137" s="29" t="s">
        <v>7</v>
      </c>
      <c r="G137" s="46" t="e">
        <f aca="true" t="shared" si="8" ref="G137:J138">G138</f>
        <v>#REF!</v>
      </c>
      <c r="H137" s="46" t="e">
        <f t="shared" si="8"/>
        <v>#REF!</v>
      </c>
      <c r="I137" s="263">
        <f t="shared" si="8"/>
        <v>2556.5</v>
      </c>
      <c r="J137" s="263">
        <f t="shared" si="8"/>
        <v>1903.5</v>
      </c>
      <c r="K137" s="263">
        <f t="shared" si="3"/>
        <v>74.45726579307647</v>
      </c>
    </row>
    <row r="138" spans="1:11" ht="77.25" customHeight="1">
      <c r="A138" s="220" t="s">
        <v>59</v>
      </c>
      <c r="B138" s="99">
        <v>528</v>
      </c>
      <c r="C138" s="12" t="s">
        <v>8</v>
      </c>
      <c r="D138" s="12" t="s">
        <v>9</v>
      </c>
      <c r="E138" s="100" t="s">
        <v>65</v>
      </c>
      <c r="F138" s="12" t="s">
        <v>7</v>
      </c>
      <c r="G138" s="45" t="e">
        <f t="shared" si="8"/>
        <v>#REF!</v>
      </c>
      <c r="H138" s="45" t="e">
        <f t="shared" si="8"/>
        <v>#REF!</v>
      </c>
      <c r="I138" s="265">
        <f t="shared" si="8"/>
        <v>2556.5</v>
      </c>
      <c r="J138" s="265">
        <f t="shared" si="8"/>
        <v>1903.5</v>
      </c>
      <c r="K138" s="263">
        <f t="shared" si="3"/>
        <v>74.45726579307647</v>
      </c>
    </row>
    <row r="139" spans="1:11" ht="19.5" customHeight="1">
      <c r="A139" s="220" t="s">
        <v>18</v>
      </c>
      <c r="B139" s="99">
        <v>528</v>
      </c>
      <c r="C139" s="12" t="s">
        <v>8</v>
      </c>
      <c r="D139" s="12" t="s">
        <v>9</v>
      </c>
      <c r="E139" s="100" t="s">
        <v>66</v>
      </c>
      <c r="F139" s="12" t="s">
        <v>7</v>
      </c>
      <c r="G139" s="45" t="e">
        <f>#REF!</f>
        <v>#REF!</v>
      </c>
      <c r="H139" s="45" t="e">
        <f>#REF!</f>
        <v>#REF!</v>
      </c>
      <c r="I139" s="265">
        <f>I140+I141+I142+I143</f>
        <v>2556.5</v>
      </c>
      <c r="J139" s="265">
        <f>J140+J141+J142+J143</f>
        <v>1903.5</v>
      </c>
      <c r="K139" s="263">
        <f t="shared" si="3"/>
        <v>74.45726579307647</v>
      </c>
    </row>
    <row r="140" spans="1:11" ht="27" customHeight="1">
      <c r="A140" s="212" t="s">
        <v>133</v>
      </c>
      <c r="B140" s="99">
        <v>528</v>
      </c>
      <c r="C140" s="12" t="s">
        <v>8</v>
      </c>
      <c r="D140" s="12" t="s">
        <v>9</v>
      </c>
      <c r="E140" s="100" t="s">
        <v>66</v>
      </c>
      <c r="F140" s="100" t="s">
        <v>127</v>
      </c>
      <c r="G140" s="45"/>
      <c r="H140" s="45"/>
      <c r="I140" s="265">
        <v>2225.3</v>
      </c>
      <c r="J140" s="314">
        <v>1679.7</v>
      </c>
      <c r="K140" s="263">
        <f t="shared" si="3"/>
        <v>75.48195748887791</v>
      </c>
    </row>
    <row r="141" spans="1:11" ht="33" customHeight="1">
      <c r="A141" s="228" t="s">
        <v>142</v>
      </c>
      <c r="B141" s="196">
        <v>528</v>
      </c>
      <c r="C141" s="201" t="s">
        <v>8</v>
      </c>
      <c r="D141" s="201" t="s">
        <v>9</v>
      </c>
      <c r="E141" s="137" t="s">
        <v>66</v>
      </c>
      <c r="F141" s="137" t="s">
        <v>129</v>
      </c>
      <c r="G141" s="197"/>
      <c r="H141" s="197"/>
      <c r="I141" s="270">
        <f>277.2-18</f>
        <v>259.2</v>
      </c>
      <c r="J141" s="322">
        <v>152.6</v>
      </c>
      <c r="K141" s="263">
        <f t="shared" si="3"/>
        <v>58.873456790123456</v>
      </c>
    </row>
    <row r="142" spans="1:11" ht="49.5" customHeight="1">
      <c r="A142" s="121" t="s">
        <v>279</v>
      </c>
      <c r="B142" s="99">
        <v>528</v>
      </c>
      <c r="C142" s="12" t="s">
        <v>8</v>
      </c>
      <c r="D142" s="12" t="s">
        <v>9</v>
      </c>
      <c r="E142" s="100" t="s">
        <v>66</v>
      </c>
      <c r="F142" s="100" t="s">
        <v>225</v>
      </c>
      <c r="G142" s="47"/>
      <c r="H142" s="47"/>
      <c r="I142" s="264">
        <f>78-8</f>
        <v>70</v>
      </c>
      <c r="J142" s="318">
        <v>69.7</v>
      </c>
      <c r="K142" s="263">
        <f t="shared" si="3"/>
        <v>99.57142857142858</v>
      </c>
    </row>
    <row r="143" spans="1:11" ht="39.75" customHeight="1">
      <c r="A143" s="212" t="s">
        <v>131</v>
      </c>
      <c r="B143" s="37">
        <v>528</v>
      </c>
      <c r="C143" s="49" t="s">
        <v>8</v>
      </c>
      <c r="D143" s="49" t="s">
        <v>9</v>
      </c>
      <c r="E143" s="49" t="s">
        <v>66</v>
      </c>
      <c r="F143" s="49" t="s">
        <v>130</v>
      </c>
      <c r="G143" s="47"/>
      <c r="H143" s="47"/>
      <c r="I143" s="264">
        <f>6-4</f>
        <v>2</v>
      </c>
      <c r="J143" s="318">
        <v>1.5</v>
      </c>
      <c r="K143" s="263">
        <f t="shared" si="3"/>
        <v>75</v>
      </c>
    </row>
    <row r="144" spans="1:11" ht="27.75" customHeight="1">
      <c r="A144" s="6" t="s">
        <v>19</v>
      </c>
      <c r="B144" s="38">
        <v>528</v>
      </c>
      <c r="C144" s="21" t="s">
        <v>8</v>
      </c>
      <c r="D144" s="21" t="s">
        <v>116</v>
      </c>
      <c r="E144" s="21" t="s">
        <v>29</v>
      </c>
      <c r="F144" s="21" t="s">
        <v>7</v>
      </c>
      <c r="G144" s="46"/>
      <c r="H144" s="46"/>
      <c r="I144" s="263">
        <f>I145</f>
        <v>892</v>
      </c>
      <c r="J144" s="263">
        <f>J145</f>
        <v>259.2</v>
      </c>
      <c r="K144" s="263">
        <f aca="true" t="shared" si="9" ref="K144:K207">J144/I144*100</f>
        <v>29.05829596412556</v>
      </c>
    </row>
    <row r="145" spans="1:16" ht="34.5" customHeight="1">
      <c r="A145" s="221" t="s">
        <v>243</v>
      </c>
      <c r="B145" s="196">
        <v>528</v>
      </c>
      <c r="C145" s="140" t="s">
        <v>8</v>
      </c>
      <c r="D145" s="140" t="s">
        <v>116</v>
      </c>
      <c r="E145" s="140" t="s">
        <v>220</v>
      </c>
      <c r="F145" s="140" t="s">
        <v>7</v>
      </c>
      <c r="G145" s="197"/>
      <c r="H145" s="197"/>
      <c r="I145" s="270">
        <f>I146</f>
        <v>892</v>
      </c>
      <c r="J145" s="270">
        <f>J146</f>
        <v>259.2</v>
      </c>
      <c r="K145" s="263">
        <f t="shared" si="9"/>
        <v>29.05829596412556</v>
      </c>
      <c r="N145" s="395"/>
      <c r="O145" s="395"/>
      <c r="P145" s="395"/>
    </row>
    <row r="146" spans="1:11" ht="34.5" customHeight="1">
      <c r="A146" s="121" t="s">
        <v>142</v>
      </c>
      <c r="B146" s="37">
        <v>528</v>
      </c>
      <c r="C146" s="49" t="s">
        <v>8</v>
      </c>
      <c r="D146" s="49" t="s">
        <v>116</v>
      </c>
      <c r="E146" s="140" t="s">
        <v>220</v>
      </c>
      <c r="F146" s="49" t="s">
        <v>129</v>
      </c>
      <c r="G146" s="47"/>
      <c r="H146" s="47"/>
      <c r="I146" s="264">
        <v>892</v>
      </c>
      <c r="J146" s="270">
        <v>259.2</v>
      </c>
      <c r="K146" s="263">
        <f t="shared" si="9"/>
        <v>29.05829596412556</v>
      </c>
    </row>
    <row r="147" spans="1:11" ht="28.5" customHeight="1">
      <c r="A147" s="209" t="s">
        <v>176</v>
      </c>
      <c r="B147" s="38">
        <v>528</v>
      </c>
      <c r="C147" s="242" t="s">
        <v>10</v>
      </c>
      <c r="D147" s="242" t="s">
        <v>16</v>
      </c>
      <c r="E147" s="150" t="s">
        <v>29</v>
      </c>
      <c r="F147" s="150" t="s">
        <v>7</v>
      </c>
      <c r="G147" s="46"/>
      <c r="H147" s="46"/>
      <c r="I147" s="263">
        <f aca="true" t="shared" si="10" ref="I147:J150">I148</f>
        <v>299.3</v>
      </c>
      <c r="J147" s="263">
        <f t="shared" si="10"/>
        <v>294.3</v>
      </c>
      <c r="K147" s="263">
        <f t="shared" si="9"/>
        <v>98.32943534914801</v>
      </c>
    </row>
    <row r="148" spans="1:11" ht="30" customHeight="1">
      <c r="A148" s="220" t="s">
        <v>177</v>
      </c>
      <c r="B148" s="37">
        <v>528</v>
      </c>
      <c r="C148" s="149" t="s">
        <v>10</v>
      </c>
      <c r="D148" s="149" t="s">
        <v>24</v>
      </c>
      <c r="E148" s="200" t="s">
        <v>29</v>
      </c>
      <c r="F148" s="151" t="s">
        <v>7</v>
      </c>
      <c r="G148" s="47"/>
      <c r="H148" s="47"/>
      <c r="I148" s="264">
        <f t="shared" si="10"/>
        <v>299.3</v>
      </c>
      <c r="J148" s="264">
        <f t="shared" si="10"/>
        <v>294.3</v>
      </c>
      <c r="K148" s="263">
        <f t="shared" si="9"/>
        <v>98.32943534914801</v>
      </c>
    </row>
    <row r="149" spans="1:11" ht="32.25" customHeight="1">
      <c r="A149" s="220" t="s">
        <v>111</v>
      </c>
      <c r="B149" s="37">
        <v>528</v>
      </c>
      <c r="C149" s="149" t="s">
        <v>10</v>
      </c>
      <c r="D149" s="149" t="s">
        <v>24</v>
      </c>
      <c r="E149" s="149" t="s">
        <v>178</v>
      </c>
      <c r="F149" s="149" t="s">
        <v>7</v>
      </c>
      <c r="G149" s="47"/>
      <c r="H149" s="47"/>
      <c r="I149" s="264">
        <f t="shared" si="10"/>
        <v>299.3</v>
      </c>
      <c r="J149" s="264">
        <f t="shared" si="10"/>
        <v>294.3</v>
      </c>
      <c r="K149" s="263">
        <f t="shared" si="9"/>
        <v>98.32943534914801</v>
      </c>
    </row>
    <row r="150" spans="1:11" ht="54" customHeight="1">
      <c r="A150" s="220" t="s">
        <v>179</v>
      </c>
      <c r="B150" s="37">
        <v>528</v>
      </c>
      <c r="C150" s="149" t="s">
        <v>10</v>
      </c>
      <c r="D150" s="149" t="s">
        <v>24</v>
      </c>
      <c r="E150" s="149" t="s">
        <v>180</v>
      </c>
      <c r="F150" s="149" t="s">
        <v>7</v>
      </c>
      <c r="G150" s="47"/>
      <c r="H150" s="47"/>
      <c r="I150" s="264">
        <f t="shared" si="10"/>
        <v>299.3</v>
      </c>
      <c r="J150" s="264">
        <f t="shared" si="10"/>
        <v>294.3</v>
      </c>
      <c r="K150" s="263">
        <f t="shared" si="9"/>
        <v>98.32943534914801</v>
      </c>
    </row>
    <row r="151" spans="1:11" ht="28.5" customHeight="1">
      <c r="A151" s="204" t="s">
        <v>181</v>
      </c>
      <c r="B151" s="37">
        <v>528</v>
      </c>
      <c r="C151" s="149" t="s">
        <v>10</v>
      </c>
      <c r="D151" s="149" t="s">
        <v>24</v>
      </c>
      <c r="E151" s="149" t="s">
        <v>180</v>
      </c>
      <c r="F151" s="152" t="s">
        <v>182</v>
      </c>
      <c r="G151" s="47"/>
      <c r="H151" s="47"/>
      <c r="I151" s="264">
        <v>299.3</v>
      </c>
      <c r="J151" s="264">
        <v>294.3</v>
      </c>
      <c r="K151" s="263">
        <f t="shared" si="9"/>
        <v>98.32943534914801</v>
      </c>
    </row>
    <row r="152" spans="1:11" ht="28.5" customHeight="1">
      <c r="A152" s="278" t="s">
        <v>50</v>
      </c>
      <c r="B152" s="38">
        <v>528</v>
      </c>
      <c r="C152" s="242" t="s">
        <v>15</v>
      </c>
      <c r="D152" s="242" t="s">
        <v>16</v>
      </c>
      <c r="E152" s="242" t="s">
        <v>29</v>
      </c>
      <c r="F152" s="279" t="s">
        <v>7</v>
      </c>
      <c r="G152" s="46"/>
      <c r="H152" s="46"/>
      <c r="I152" s="263">
        <f>I156+I154</f>
        <v>7463.4</v>
      </c>
      <c r="J152" s="263">
        <f>J156+J154</f>
        <v>1397.3</v>
      </c>
      <c r="K152" s="263">
        <f t="shared" si="9"/>
        <v>18.722030173915375</v>
      </c>
    </row>
    <row r="153" spans="1:11" ht="37.5" customHeight="1">
      <c r="A153" s="304" t="s">
        <v>291</v>
      </c>
      <c r="B153" s="37">
        <v>528</v>
      </c>
      <c r="C153" s="149" t="s">
        <v>15</v>
      </c>
      <c r="D153" s="149" t="s">
        <v>22</v>
      </c>
      <c r="E153" s="149" t="s">
        <v>29</v>
      </c>
      <c r="F153" s="152" t="s">
        <v>7</v>
      </c>
      <c r="G153" s="46"/>
      <c r="H153" s="46"/>
      <c r="I153" s="263">
        <f>I156+I154</f>
        <v>7463.4</v>
      </c>
      <c r="J153" s="263">
        <f>J156+J154</f>
        <v>1397.3</v>
      </c>
      <c r="K153" s="263">
        <f t="shared" si="9"/>
        <v>18.722030173915375</v>
      </c>
    </row>
    <row r="154" spans="1:11" ht="59.25" customHeight="1">
      <c r="A154" s="204" t="s">
        <v>282</v>
      </c>
      <c r="B154" s="37">
        <v>528</v>
      </c>
      <c r="C154" s="149" t="s">
        <v>15</v>
      </c>
      <c r="D154" s="149" t="s">
        <v>22</v>
      </c>
      <c r="E154" s="149" t="s">
        <v>283</v>
      </c>
      <c r="F154" s="152" t="s">
        <v>7</v>
      </c>
      <c r="G154" s="47"/>
      <c r="H154" s="47"/>
      <c r="I154" s="264">
        <f>I155</f>
        <v>4649.8</v>
      </c>
      <c r="J154" s="264">
        <f>J155</f>
        <v>1397.3</v>
      </c>
      <c r="K154" s="263">
        <f t="shared" si="9"/>
        <v>30.050754871177254</v>
      </c>
    </row>
    <row r="155" spans="1:11" ht="71.25" customHeight="1">
      <c r="A155" s="204" t="s">
        <v>272</v>
      </c>
      <c r="B155" s="37">
        <v>528</v>
      </c>
      <c r="C155" s="149" t="s">
        <v>15</v>
      </c>
      <c r="D155" s="149" t="s">
        <v>22</v>
      </c>
      <c r="E155" s="149" t="s">
        <v>283</v>
      </c>
      <c r="F155" s="152" t="s">
        <v>173</v>
      </c>
      <c r="G155" s="47"/>
      <c r="H155" s="47"/>
      <c r="I155" s="264">
        <v>4649.8</v>
      </c>
      <c r="J155" s="264">
        <v>1397.3</v>
      </c>
      <c r="K155" s="263">
        <f t="shared" si="9"/>
        <v>30.050754871177254</v>
      </c>
    </row>
    <row r="156" spans="1:11" ht="105.75" customHeight="1">
      <c r="A156" s="204" t="s">
        <v>287</v>
      </c>
      <c r="B156" s="37">
        <v>528</v>
      </c>
      <c r="C156" s="149" t="s">
        <v>15</v>
      </c>
      <c r="D156" s="149" t="s">
        <v>22</v>
      </c>
      <c r="E156" s="149" t="s">
        <v>288</v>
      </c>
      <c r="F156" s="152" t="s">
        <v>7</v>
      </c>
      <c r="G156" s="47"/>
      <c r="H156" s="47"/>
      <c r="I156" s="270">
        <f>I157</f>
        <v>2813.6</v>
      </c>
      <c r="J156" s="270">
        <f>J157</f>
        <v>0</v>
      </c>
      <c r="K156" s="263">
        <f t="shared" si="9"/>
        <v>0</v>
      </c>
    </row>
    <row r="157" spans="1:11" ht="78.75" customHeight="1">
      <c r="A157" s="204" t="s">
        <v>272</v>
      </c>
      <c r="B157" s="37">
        <v>528</v>
      </c>
      <c r="C157" s="149" t="s">
        <v>15</v>
      </c>
      <c r="D157" s="149" t="s">
        <v>22</v>
      </c>
      <c r="E157" s="149" t="s">
        <v>288</v>
      </c>
      <c r="F157" s="152" t="s">
        <v>173</v>
      </c>
      <c r="G157" s="47"/>
      <c r="H157" s="47"/>
      <c r="I157" s="270">
        <v>2813.6</v>
      </c>
      <c r="J157" s="323"/>
      <c r="K157" s="263">
        <f t="shared" si="9"/>
        <v>0</v>
      </c>
    </row>
    <row r="158" spans="1:11" ht="25.5" customHeight="1">
      <c r="A158" s="208" t="s">
        <v>94</v>
      </c>
      <c r="B158" s="104">
        <v>528</v>
      </c>
      <c r="C158" s="21" t="s">
        <v>45</v>
      </c>
      <c r="D158" s="21" t="s">
        <v>16</v>
      </c>
      <c r="E158" s="179" t="s">
        <v>29</v>
      </c>
      <c r="F158" s="21" t="s">
        <v>7</v>
      </c>
      <c r="G158" s="46"/>
      <c r="H158" s="46"/>
      <c r="I158" s="263">
        <f>I159</f>
        <v>6200</v>
      </c>
      <c r="J158" s="263">
        <f>J159</f>
        <v>0</v>
      </c>
      <c r="K158" s="263">
        <f t="shared" si="9"/>
        <v>0</v>
      </c>
    </row>
    <row r="159" spans="1:11" ht="36.75" customHeight="1">
      <c r="A159" s="324" t="s">
        <v>222</v>
      </c>
      <c r="B159" s="325">
        <v>528</v>
      </c>
      <c r="C159" s="326" t="s">
        <v>45</v>
      </c>
      <c r="D159" s="326" t="s">
        <v>45</v>
      </c>
      <c r="E159" s="327" t="s">
        <v>29</v>
      </c>
      <c r="F159" s="326" t="s">
        <v>7</v>
      </c>
      <c r="G159" s="326" t="s">
        <v>311</v>
      </c>
      <c r="H159" s="326" t="s">
        <v>312</v>
      </c>
      <c r="I159" s="263">
        <f>I160</f>
        <v>6200</v>
      </c>
      <c r="J159" s="263">
        <f>J160</f>
        <v>0</v>
      </c>
      <c r="K159" s="263">
        <f t="shared" si="9"/>
        <v>0</v>
      </c>
    </row>
    <row r="160" spans="1:11" ht="66.75" customHeight="1">
      <c r="A160" s="324" t="s">
        <v>308</v>
      </c>
      <c r="B160" s="325">
        <v>528</v>
      </c>
      <c r="C160" s="326" t="s">
        <v>45</v>
      </c>
      <c r="D160" s="326" t="s">
        <v>45</v>
      </c>
      <c r="E160" s="327" t="s">
        <v>309</v>
      </c>
      <c r="F160" s="326" t="s">
        <v>310</v>
      </c>
      <c r="G160" s="328"/>
      <c r="H160" s="328"/>
      <c r="I160" s="329">
        <v>6200</v>
      </c>
      <c r="J160" s="329"/>
      <c r="K160" s="263">
        <f t="shared" si="9"/>
        <v>0</v>
      </c>
    </row>
    <row r="161" spans="1:11" ht="63.75" customHeight="1">
      <c r="A161" s="17" t="s">
        <v>266</v>
      </c>
      <c r="B161" s="102" t="s">
        <v>91</v>
      </c>
      <c r="C161" s="21" t="s">
        <v>64</v>
      </c>
      <c r="D161" s="21" t="s">
        <v>16</v>
      </c>
      <c r="E161" s="21" t="s">
        <v>29</v>
      </c>
      <c r="F161" s="21" t="s">
        <v>7</v>
      </c>
      <c r="G161" s="46" t="e">
        <f>G162+#REF!+#REF!+#REF!</f>
        <v>#REF!</v>
      </c>
      <c r="H161" s="46" t="e">
        <f>H162+#REF!+#REF!+#REF!</f>
        <v>#REF!</v>
      </c>
      <c r="I161" s="263">
        <f>I162+I166</f>
        <v>14812.73</v>
      </c>
      <c r="J161" s="263">
        <f>J162+J166</f>
        <v>10901</v>
      </c>
      <c r="K161" s="263">
        <f t="shared" si="9"/>
        <v>73.59210624915191</v>
      </c>
    </row>
    <row r="162" spans="1:11" ht="50.25" customHeight="1">
      <c r="A162" s="232" t="s">
        <v>124</v>
      </c>
      <c r="B162" s="110" t="s">
        <v>91</v>
      </c>
      <c r="C162" s="55" t="s">
        <v>64</v>
      </c>
      <c r="D162" s="55" t="s">
        <v>8</v>
      </c>
      <c r="E162" s="55" t="s">
        <v>29</v>
      </c>
      <c r="F162" s="58" t="s">
        <v>7</v>
      </c>
      <c r="G162" s="59">
        <f aca="true" t="shared" si="11" ref="G162:J164">G163</f>
        <v>0</v>
      </c>
      <c r="H162" s="59">
        <f t="shared" si="11"/>
        <v>14013.15</v>
      </c>
      <c r="I162" s="271">
        <f t="shared" si="11"/>
        <v>14382.73</v>
      </c>
      <c r="J162" s="271">
        <f t="shared" si="11"/>
        <v>10521</v>
      </c>
      <c r="K162" s="263">
        <f t="shared" si="9"/>
        <v>73.15022947660145</v>
      </c>
    </row>
    <row r="163" spans="1:11" ht="24.75" customHeight="1">
      <c r="A163" s="218" t="s">
        <v>87</v>
      </c>
      <c r="B163" s="110" t="s">
        <v>91</v>
      </c>
      <c r="C163" s="55" t="s">
        <v>64</v>
      </c>
      <c r="D163" s="55" t="s">
        <v>8</v>
      </c>
      <c r="E163" s="55" t="s">
        <v>259</v>
      </c>
      <c r="F163" s="58" t="s">
        <v>7</v>
      </c>
      <c r="G163" s="60">
        <f t="shared" si="11"/>
        <v>0</v>
      </c>
      <c r="H163" s="60">
        <f t="shared" si="11"/>
        <v>14013.15</v>
      </c>
      <c r="I163" s="271">
        <f t="shared" si="11"/>
        <v>14382.73</v>
      </c>
      <c r="J163" s="271">
        <f t="shared" si="11"/>
        <v>10521</v>
      </c>
      <c r="K163" s="263">
        <f t="shared" si="9"/>
        <v>73.15022947660145</v>
      </c>
    </row>
    <row r="164" spans="1:11" ht="45.75" customHeight="1">
      <c r="A164" s="218" t="s">
        <v>88</v>
      </c>
      <c r="B164" s="110" t="s">
        <v>91</v>
      </c>
      <c r="C164" s="55" t="s">
        <v>64</v>
      </c>
      <c r="D164" s="55" t="s">
        <v>8</v>
      </c>
      <c r="E164" s="61" t="s">
        <v>260</v>
      </c>
      <c r="F164" s="62" t="s">
        <v>7</v>
      </c>
      <c r="G164" s="56">
        <f t="shared" si="11"/>
        <v>0</v>
      </c>
      <c r="H164" s="56">
        <f t="shared" si="11"/>
        <v>14013.15</v>
      </c>
      <c r="I164" s="271">
        <f t="shared" si="11"/>
        <v>14382.73</v>
      </c>
      <c r="J164" s="271">
        <f t="shared" si="11"/>
        <v>10521</v>
      </c>
      <c r="K164" s="263">
        <f t="shared" si="9"/>
        <v>73.15022947660145</v>
      </c>
    </row>
    <row r="165" spans="1:11" ht="24" customHeight="1">
      <c r="A165" s="218" t="s">
        <v>89</v>
      </c>
      <c r="B165" s="110" t="s">
        <v>91</v>
      </c>
      <c r="C165" s="55" t="s">
        <v>64</v>
      </c>
      <c r="D165" s="55" t="s">
        <v>8</v>
      </c>
      <c r="E165" s="61" t="s">
        <v>260</v>
      </c>
      <c r="F165" s="123" t="s">
        <v>144</v>
      </c>
      <c r="G165" s="56"/>
      <c r="H165" s="56">
        <v>14013.15</v>
      </c>
      <c r="I165" s="271">
        <f>14383.27-0.54</f>
        <v>14382.73</v>
      </c>
      <c r="J165" s="271">
        <v>10521</v>
      </c>
      <c r="K165" s="263">
        <f t="shared" si="9"/>
        <v>73.15022947660145</v>
      </c>
    </row>
    <row r="166" spans="1:11" ht="56.25" customHeight="1">
      <c r="A166" s="223" t="s">
        <v>147</v>
      </c>
      <c r="B166" s="112" t="s">
        <v>91</v>
      </c>
      <c r="C166" s="63" t="s">
        <v>64</v>
      </c>
      <c r="D166" s="120" t="s">
        <v>24</v>
      </c>
      <c r="E166" s="120" t="s">
        <v>29</v>
      </c>
      <c r="F166" s="125" t="s">
        <v>7</v>
      </c>
      <c r="G166" s="124"/>
      <c r="H166" s="124"/>
      <c r="I166" s="271">
        <f>I167+I170</f>
        <v>430</v>
      </c>
      <c r="J166" s="271">
        <f>J167+J170</f>
        <v>380</v>
      </c>
      <c r="K166" s="263">
        <f t="shared" si="9"/>
        <v>88.37209302325581</v>
      </c>
    </row>
    <row r="167" spans="1:11" ht="84" customHeight="1">
      <c r="A167" s="157" t="s">
        <v>216</v>
      </c>
      <c r="B167" s="126" t="s">
        <v>91</v>
      </c>
      <c r="C167" s="120" t="s">
        <v>64</v>
      </c>
      <c r="D167" s="120" t="s">
        <v>24</v>
      </c>
      <c r="E167" s="120" t="s">
        <v>264</v>
      </c>
      <c r="F167" s="125" t="s">
        <v>7</v>
      </c>
      <c r="G167" s="124"/>
      <c r="H167" s="124"/>
      <c r="I167" s="271">
        <f>I168</f>
        <v>400</v>
      </c>
      <c r="J167" s="271">
        <f>J168</f>
        <v>350</v>
      </c>
      <c r="K167" s="263">
        <f t="shared" si="9"/>
        <v>87.5</v>
      </c>
    </row>
    <row r="168" spans="1:11" ht="51.75" customHeight="1">
      <c r="A168" s="121" t="s">
        <v>150</v>
      </c>
      <c r="B168" s="126" t="s">
        <v>91</v>
      </c>
      <c r="C168" s="120" t="s">
        <v>64</v>
      </c>
      <c r="D168" s="120" t="s">
        <v>24</v>
      </c>
      <c r="E168" s="98" t="s">
        <v>1</v>
      </c>
      <c r="F168" s="125" t="s">
        <v>7</v>
      </c>
      <c r="G168" s="124"/>
      <c r="H168" s="124"/>
      <c r="I168" s="271">
        <f>I169</f>
        <v>400</v>
      </c>
      <c r="J168" s="271">
        <f>J169</f>
        <v>350</v>
      </c>
      <c r="K168" s="263">
        <f t="shared" si="9"/>
        <v>87.5</v>
      </c>
    </row>
    <row r="169" spans="1:11" ht="22.5" customHeight="1">
      <c r="A169" s="223" t="s">
        <v>93</v>
      </c>
      <c r="B169" s="126" t="s">
        <v>91</v>
      </c>
      <c r="C169" s="120" t="s">
        <v>64</v>
      </c>
      <c r="D169" s="120" t="s">
        <v>24</v>
      </c>
      <c r="E169" s="98" t="s">
        <v>1</v>
      </c>
      <c r="F169" s="125" t="s">
        <v>148</v>
      </c>
      <c r="G169" s="124"/>
      <c r="H169" s="124"/>
      <c r="I169" s="271">
        <v>400</v>
      </c>
      <c r="J169" s="271">
        <v>350</v>
      </c>
      <c r="K169" s="263">
        <f t="shared" si="9"/>
        <v>87.5</v>
      </c>
    </row>
    <row r="170" spans="1:11" ht="63.75" customHeight="1">
      <c r="A170" s="223" t="s">
        <v>280</v>
      </c>
      <c r="B170" s="126" t="s">
        <v>91</v>
      </c>
      <c r="C170" s="120" t="s">
        <v>64</v>
      </c>
      <c r="D170" s="120" t="s">
        <v>24</v>
      </c>
      <c r="E170" s="98" t="s">
        <v>281</v>
      </c>
      <c r="F170" s="125" t="s">
        <v>7</v>
      </c>
      <c r="G170" s="124"/>
      <c r="H170" s="124"/>
      <c r="I170" s="271">
        <f>I171</f>
        <v>30</v>
      </c>
      <c r="J170" s="271">
        <f>J171</f>
        <v>30</v>
      </c>
      <c r="K170" s="263">
        <f t="shared" si="9"/>
        <v>100</v>
      </c>
    </row>
    <row r="171" spans="1:11" ht="33" customHeight="1">
      <c r="A171" s="223" t="s">
        <v>93</v>
      </c>
      <c r="B171" s="126" t="s">
        <v>91</v>
      </c>
      <c r="C171" s="120" t="s">
        <v>64</v>
      </c>
      <c r="D171" s="120" t="s">
        <v>24</v>
      </c>
      <c r="E171" s="98" t="s">
        <v>281</v>
      </c>
      <c r="F171" s="125" t="s">
        <v>148</v>
      </c>
      <c r="G171" s="124"/>
      <c r="H171" s="124"/>
      <c r="I171" s="271">
        <f>10+20</f>
        <v>30</v>
      </c>
      <c r="J171" s="271">
        <v>30</v>
      </c>
      <c r="K171" s="263">
        <f t="shared" si="9"/>
        <v>100</v>
      </c>
    </row>
    <row r="172" spans="1:11" ht="78.75" customHeight="1">
      <c r="A172" s="224" t="s">
        <v>126</v>
      </c>
      <c r="B172" s="133" t="s">
        <v>63</v>
      </c>
      <c r="C172" s="134" t="s">
        <v>26</v>
      </c>
      <c r="D172" s="134" t="s">
        <v>26</v>
      </c>
      <c r="E172" s="134" t="s">
        <v>29</v>
      </c>
      <c r="F172" s="134" t="s">
        <v>7</v>
      </c>
      <c r="G172" s="135" t="e">
        <f aca="true" t="shared" si="12" ref="G172:J175">G173</f>
        <v>#REF!</v>
      </c>
      <c r="H172" s="135" t="e">
        <f t="shared" si="12"/>
        <v>#REF!</v>
      </c>
      <c r="I172" s="273">
        <f t="shared" si="12"/>
        <v>840.9</v>
      </c>
      <c r="J172" s="273">
        <f t="shared" si="12"/>
        <v>577.9</v>
      </c>
      <c r="K172" s="263">
        <f t="shared" si="9"/>
        <v>68.72398620525627</v>
      </c>
    </row>
    <row r="173" spans="1:11" ht="26.25" customHeight="1">
      <c r="A173" s="5" t="s">
        <v>17</v>
      </c>
      <c r="B173" s="182" t="s">
        <v>63</v>
      </c>
      <c r="C173" s="183" t="s">
        <v>8</v>
      </c>
      <c r="D173" s="183" t="s">
        <v>16</v>
      </c>
      <c r="E173" s="183" t="s">
        <v>29</v>
      </c>
      <c r="F173" s="183" t="s">
        <v>7</v>
      </c>
      <c r="G173" s="66" t="e">
        <f t="shared" si="12"/>
        <v>#REF!</v>
      </c>
      <c r="H173" s="66" t="e">
        <f t="shared" si="12"/>
        <v>#REF!</v>
      </c>
      <c r="I173" s="271">
        <f t="shared" si="12"/>
        <v>840.9</v>
      </c>
      <c r="J173" s="271">
        <f t="shared" si="12"/>
        <v>577.9</v>
      </c>
      <c r="K173" s="263">
        <f t="shared" si="9"/>
        <v>68.72398620525627</v>
      </c>
    </row>
    <row r="174" spans="1:11" ht="21.75" customHeight="1">
      <c r="A174" s="5" t="s">
        <v>19</v>
      </c>
      <c r="B174" s="182" t="s">
        <v>63</v>
      </c>
      <c r="C174" s="183" t="s">
        <v>8</v>
      </c>
      <c r="D174" s="183" t="s">
        <v>116</v>
      </c>
      <c r="E174" s="183" t="s">
        <v>29</v>
      </c>
      <c r="F174" s="183" t="s">
        <v>7</v>
      </c>
      <c r="G174" s="66" t="e">
        <f>G175+#REF!</f>
        <v>#REF!</v>
      </c>
      <c r="H174" s="66" t="e">
        <f t="shared" si="12"/>
        <v>#REF!</v>
      </c>
      <c r="I174" s="271">
        <f t="shared" si="12"/>
        <v>840.9</v>
      </c>
      <c r="J174" s="271">
        <f t="shared" si="12"/>
        <v>577.9</v>
      </c>
      <c r="K174" s="263">
        <f t="shared" si="9"/>
        <v>68.72398620525627</v>
      </c>
    </row>
    <row r="175" spans="1:11" ht="81" customHeight="1">
      <c r="A175" s="5" t="s">
        <v>59</v>
      </c>
      <c r="B175" s="182" t="s">
        <v>63</v>
      </c>
      <c r="C175" s="183" t="s">
        <v>8</v>
      </c>
      <c r="D175" s="183" t="s">
        <v>116</v>
      </c>
      <c r="E175" s="183" t="s">
        <v>65</v>
      </c>
      <c r="F175" s="183" t="s">
        <v>7</v>
      </c>
      <c r="G175" s="66" t="e">
        <f>G176</f>
        <v>#REF!</v>
      </c>
      <c r="H175" s="66" t="e">
        <f t="shared" si="12"/>
        <v>#REF!</v>
      </c>
      <c r="I175" s="271">
        <f t="shared" si="12"/>
        <v>840.9</v>
      </c>
      <c r="J175" s="271">
        <f t="shared" si="12"/>
        <v>577.9</v>
      </c>
      <c r="K175" s="263">
        <f t="shared" si="9"/>
        <v>68.72398620525627</v>
      </c>
    </row>
    <row r="176" spans="1:11" ht="21" customHeight="1">
      <c r="A176" s="5" t="s">
        <v>18</v>
      </c>
      <c r="B176" s="182" t="s">
        <v>63</v>
      </c>
      <c r="C176" s="183" t="s">
        <v>8</v>
      </c>
      <c r="D176" s="183" t="s">
        <v>116</v>
      </c>
      <c r="E176" s="183" t="s">
        <v>66</v>
      </c>
      <c r="F176" s="183" t="s">
        <v>7</v>
      </c>
      <c r="G176" s="66" t="e">
        <f>#REF!</f>
        <v>#REF!</v>
      </c>
      <c r="H176" s="66" t="e">
        <f>#REF!</f>
        <v>#REF!</v>
      </c>
      <c r="I176" s="271">
        <f>I177+I178+I179+I180</f>
        <v>840.9</v>
      </c>
      <c r="J176" s="271">
        <f>J177+J178+J179+J180</f>
        <v>577.9</v>
      </c>
      <c r="K176" s="263">
        <f t="shared" si="9"/>
        <v>68.72398620525627</v>
      </c>
    </row>
    <row r="177" spans="1:11" ht="26.25" customHeight="1">
      <c r="A177" s="212" t="s">
        <v>133</v>
      </c>
      <c r="B177" s="182" t="s">
        <v>63</v>
      </c>
      <c r="C177" s="183" t="s">
        <v>8</v>
      </c>
      <c r="D177" s="183" t="s">
        <v>116</v>
      </c>
      <c r="E177" s="183" t="s">
        <v>66</v>
      </c>
      <c r="F177" s="183" t="s">
        <v>127</v>
      </c>
      <c r="G177" s="66"/>
      <c r="H177" s="66"/>
      <c r="I177" s="271">
        <v>580</v>
      </c>
      <c r="J177" s="315">
        <v>520.3</v>
      </c>
      <c r="K177" s="263">
        <f t="shared" si="9"/>
        <v>89.70689655172413</v>
      </c>
    </row>
    <row r="178" spans="1:11" ht="32.25" customHeight="1">
      <c r="A178" s="121" t="s">
        <v>132</v>
      </c>
      <c r="B178" s="182" t="s">
        <v>63</v>
      </c>
      <c r="C178" s="183" t="s">
        <v>8</v>
      </c>
      <c r="D178" s="183" t="s">
        <v>116</v>
      </c>
      <c r="E178" s="183" t="s">
        <v>66</v>
      </c>
      <c r="F178" s="183" t="s">
        <v>128</v>
      </c>
      <c r="G178" s="66"/>
      <c r="H178" s="66"/>
      <c r="I178" s="271">
        <v>1</v>
      </c>
      <c r="J178" s="315">
        <v>0</v>
      </c>
      <c r="K178" s="263">
        <f t="shared" si="9"/>
        <v>0</v>
      </c>
    </row>
    <row r="179" spans="1:14" ht="31.5" customHeight="1">
      <c r="A179" s="121" t="s">
        <v>142</v>
      </c>
      <c r="B179" s="182" t="s">
        <v>63</v>
      </c>
      <c r="C179" s="183" t="s">
        <v>8</v>
      </c>
      <c r="D179" s="183" t="s">
        <v>116</v>
      </c>
      <c r="E179" s="183" t="s">
        <v>66</v>
      </c>
      <c r="F179" s="183" t="s">
        <v>129</v>
      </c>
      <c r="G179" s="66"/>
      <c r="H179" s="66"/>
      <c r="I179" s="271">
        <f>285-26.1</f>
        <v>258.9</v>
      </c>
      <c r="J179" s="315">
        <v>57.6</v>
      </c>
      <c r="K179" s="263">
        <f t="shared" si="9"/>
        <v>22.247972190034766</v>
      </c>
      <c r="N179" s="249"/>
    </row>
    <row r="180" spans="1:11" ht="32.25" customHeight="1">
      <c r="A180" s="212" t="s">
        <v>138</v>
      </c>
      <c r="B180" s="182" t="s">
        <v>63</v>
      </c>
      <c r="C180" s="183" t="s">
        <v>8</v>
      </c>
      <c r="D180" s="183" t="s">
        <v>116</v>
      </c>
      <c r="E180" s="183" t="s">
        <v>66</v>
      </c>
      <c r="F180" s="183" t="s">
        <v>137</v>
      </c>
      <c r="G180" s="66"/>
      <c r="H180" s="66"/>
      <c r="I180" s="266">
        <v>1</v>
      </c>
      <c r="J180" s="315">
        <v>0</v>
      </c>
      <c r="K180" s="263">
        <f t="shared" si="9"/>
        <v>0</v>
      </c>
    </row>
    <row r="181" spans="1:11" ht="53.25" customHeight="1">
      <c r="A181" s="205" t="s">
        <v>157</v>
      </c>
      <c r="B181" s="129" t="s">
        <v>67</v>
      </c>
      <c r="C181" s="130" t="s">
        <v>16</v>
      </c>
      <c r="D181" s="130" t="s">
        <v>16</v>
      </c>
      <c r="E181" s="130" t="s">
        <v>29</v>
      </c>
      <c r="F181" s="130" t="s">
        <v>7</v>
      </c>
      <c r="G181" s="131" t="e">
        <f>G182+G188</f>
        <v>#REF!</v>
      </c>
      <c r="H181" s="131" t="e">
        <f>H182+H188</f>
        <v>#REF!</v>
      </c>
      <c r="I181" s="263">
        <f>I182+I188</f>
        <v>7137.8</v>
      </c>
      <c r="J181" s="263">
        <f>J182+J188</f>
        <v>5531.2</v>
      </c>
      <c r="K181" s="263">
        <f t="shared" si="9"/>
        <v>77.49166409818152</v>
      </c>
    </row>
    <row r="182" spans="1:11" ht="18" customHeight="1">
      <c r="A182" s="225" t="s">
        <v>57</v>
      </c>
      <c r="B182" s="115" t="s">
        <v>67</v>
      </c>
      <c r="C182" s="67" t="s">
        <v>11</v>
      </c>
      <c r="D182" s="67" t="s">
        <v>16</v>
      </c>
      <c r="E182" s="67" t="s">
        <v>29</v>
      </c>
      <c r="F182" s="67" t="s">
        <v>7</v>
      </c>
      <c r="G182" s="68">
        <f aca="true" t="shared" si="13" ref="G182:J185">G183</f>
        <v>0</v>
      </c>
      <c r="H182" s="68">
        <f t="shared" si="13"/>
        <v>2073</v>
      </c>
      <c r="I182" s="272">
        <f t="shared" si="13"/>
        <v>2240</v>
      </c>
      <c r="J182" s="272">
        <f t="shared" si="13"/>
        <v>1946.2</v>
      </c>
      <c r="K182" s="263">
        <f t="shared" si="9"/>
        <v>86.88392857142857</v>
      </c>
    </row>
    <row r="183" spans="1:11" ht="22.5" customHeight="1">
      <c r="A183" s="157" t="s">
        <v>12</v>
      </c>
      <c r="B183" s="116" t="s">
        <v>67</v>
      </c>
      <c r="C183" s="15" t="s">
        <v>11</v>
      </c>
      <c r="D183" s="15" t="s">
        <v>16</v>
      </c>
      <c r="E183" s="15" t="s">
        <v>29</v>
      </c>
      <c r="F183" s="15" t="s">
        <v>7</v>
      </c>
      <c r="G183" s="69">
        <f t="shared" si="13"/>
        <v>0</v>
      </c>
      <c r="H183" s="69">
        <f t="shared" si="13"/>
        <v>2073</v>
      </c>
      <c r="I183" s="268">
        <f t="shared" si="13"/>
        <v>2240</v>
      </c>
      <c r="J183" s="268">
        <f t="shared" si="13"/>
        <v>1946.2</v>
      </c>
      <c r="K183" s="263">
        <f t="shared" si="9"/>
        <v>86.88392857142857</v>
      </c>
    </row>
    <row r="184" spans="1:11" ht="21.75" customHeight="1">
      <c r="A184" s="157" t="s">
        <v>13</v>
      </c>
      <c r="B184" s="108" t="s">
        <v>67</v>
      </c>
      <c r="C184" s="12" t="s">
        <v>11</v>
      </c>
      <c r="D184" s="12" t="s">
        <v>10</v>
      </c>
      <c r="E184" s="12" t="s">
        <v>29</v>
      </c>
      <c r="F184" s="12" t="s">
        <v>7</v>
      </c>
      <c r="G184" s="44">
        <f t="shared" si="13"/>
        <v>0</v>
      </c>
      <c r="H184" s="44">
        <f t="shared" si="13"/>
        <v>2073</v>
      </c>
      <c r="I184" s="265">
        <f t="shared" si="13"/>
        <v>2240</v>
      </c>
      <c r="J184" s="265">
        <f t="shared" si="13"/>
        <v>1946.2</v>
      </c>
      <c r="K184" s="263">
        <f t="shared" si="9"/>
        <v>86.88392857142857</v>
      </c>
    </row>
    <row r="185" spans="1:11" ht="27.75" customHeight="1">
      <c r="A185" s="212" t="s">
        <v>14</v>
      </c>
      <c r="B185" s="117" t="s">
        <v>67</v>
      </c>
      <c r="C185" s="70" t="s">
        <v>11</v>
      </c>
      <c r="D185" s="70" t="s">
        <v>10</v>
      </c>
      <c r="E185" s="11" t="s">
        <v>34</v>
      </c>
      <c r="F185" s="70" t="s">
        <v>7</v>
      </c>
      <c r="G185" s="53">
        <f t="shared" si="13"/>
        <v>0</v>
      </c>
      <c r="H185" s="53">
        <f t="shared" si="13"/>
        <v>2073</v>
      </c>
      <c r="I185" s="269">
        <f t="shared" si="13"/>
        <v>2240</v>
      </c>
      <c r="J185" s="269">
        <f t="shared" si="13"/>
        <v>1946.2</v>
      </c>
      <c r="K185" s="263">
        <f t="shared" si="9"/>
        <v>86.88392857142857</v>
      </c>
    </row>
    <row r="186" spans="1:11" ht="30" customHeight="1">
      <c r="A186" s="212" t="s">
        <v>20</v>
      </c>
      <c r="B186" s="117" t="s">
        <v>67</v>
      </c>
      <c r="C186" s="70" t="s">
        <v>11</v>
      </c>
      <c r="D186" s="70" t="s">
        <v>10</v>
      </c>
      <c r="E186" s="11" t="s">
        <v>68</v>
      </c>
      <c r="F186" s="70" t="s">
        <v>7</v>
      </c>
      <c r="G186" s="53">
        <f>G187</f>
        <v>0</v>
      </c>
      <c r="H186" s="53">
        <f>H187</f>
        <v>2073</v>
      </c>
      <c r="I186" s="269">
        <f>I187</f>
        <v>2240</v>
      </c>
      <c r="J186" s="269">
        <f>J187</f>
        <v>1946.2</v>
      </c>
      <c r="K186" s="263">
        <f t="shared" si="9"/>
        <v>86.88392857142857</v>
      </c>
    </row>
    <row r="187" spans="1:11" ht="45.75" customHeight="1">
      <c r="A187" s="121" t="s">
        <v>149</v>
      </c>
      <c r="B187" s="117" t="s">
        <v>67</v>
      </c>
      <c r="C187" s="70" t="s">
        <v>11</v>
      </c>
      <c r="D187" s="70" t="s">
        <v>10</v>
      </c>
      <c r="E187" s="11" t="s">
        <v>68</v>
      </c>
      <c r="F187" s="70" t="s">
        <v>141</v>
      </c>
      <c r="G187" s="44"/>
      <c r="H187" s="44">
        <v>2073</v>
      </c>
      <c r="I187" s="265">
        <v>2240</v>
      </c>
      <c r="J187" s="269">
        <v>1946.2</v>
      </c>
      <c r="K187" s="263">
        <f t="shared" si="9"/>
        <v>86.88392857142857</v>
      </c>
    </row>
    <row r="188" spans="1:11" ht="24" customHeight="1">
      <c r="A188" s="1" t="s">
        <v>119</v>
      </c>
      <c r="B188" s="111" t="s">
        <v>67</v>
      </c>
      <c r="C188" s="64" t="s">
        <v>46</v>
      </c>
      <c r="D188" s="64" t="s">
        <v>16</v>
      </c>
      <c r="E188" s="64" t="s">
        <v>29</v>
      </c>
      <c r="F188" s="64" t="s">
        <v>7</v>
      </c>
      <c r="G188" s="71" t="e">
        <f>G189+G218</f>
        <v>#REF!</v>
      </c>
      <c r="H188" s="71" t="e">
        <f>H189+H218+H201++H196</f>
        <v>#REF!</v>
      </c>
      <c r="I188" s="268">
        <f>I189+I218</f>
        <v>4897.8</v>
      </c>
      <c r="J188" s="268">
        <f>J189+J218</f>
        <v>3585</v>
      </c>
      <c r="K188" s="263">
        <f t="shared" si="9"/>
        <v>73.1961288741884</v>
      </c>
    </row>
    <row r="189" spans="1:11" ht="23.25" customHeight="1">
      <c r="A189" s="6" t="s">
        <v>69</v>
      </c>
      <c r="B189" s="114" t="s">
        <v>67</v>
      </c>
      <c r="C189" s="95" t="s">
        <v>46</v>
      </c>
      <c r="D189" s="95" t="s">
        <v>8</v>
      </c>
      <c r="E189" s="95" t="s">
        <v>29</v>
      </c>
      <c r="F189" s="95" t="s">
        <v>7</v>
      </c>
      <c r="G189" s="72" t="e">
        <f>#REF!+G196+G201</f>
        <v>#REF!</v>
      </c>
      <c r="H189" s="73" t="e">
        <f>#REF!</f>
        <v>#REF!</v>
      </c>
      <c r="I189" s="272">
        <f>I190+I213+I216</f>
        <v>4427.8</v>
      </c>
      <c r="J189" s="272">
        <f>J190+J213+J216</f>
        <v>3216.7</v>
      </c>
      <c r="K189" s="263">
        <f t="shared" si="9"/>
        <v>72.64781607118658</v>
      </c>
    </row>
    <row r="190" spans="1:11" ht="46.5" customHeight="1">
      <c r="A190" s="280" t="s">
        <v>293</v>
      </c>
      <c r="B190" s="114" t="s">
        <v>67</v>
      </c>
      <c r="C190" s="95" t="s">
        <v>46</v>
      </c>
      <c r="D190" s="95" t="s">
        <v>8</v>
      </c>
      <c r="E190" s="95" t="s">
        <v>47</v>
      </c>
      <c r="F190" s="95" t="s">
        <v>7</v>
      </c>
      <c r="G190" s="72"/>
      <c r="H190" s="73"/>
      <c r="I190" s="272">
        <f>I191+I193+I196+I201</f>
        <v>4394.8</v>
      </c>
      <c r="J190" s="272">
        <f>J191+J193+J196+J201</f>
        <v>3216.7</v>
      </c>
      <c r="K190" s="263">
        <f t="shared" si="9"/>
        <v>73.19331937744606</v>
      </c>
    </row>
    <row r="191" spans="1:11" ht="62.25" customHeight="1">
      <c r="A191" s="228" t="s">
        <v>194</v>
      </c>
      <c r="B191" s="255" t="s">
        <v>67</v>
      </c>
      <c r="C191" s="256" t="s">
        <v>46</v>
      </c>
      <c r="D191" s="256" t="s">
        <v>8</v>
      </c>
      <c r="E191" s="256" t="s">
        <v>195</v>
      </c>
      <c r="F191" s="257" t="s">
        <v>7</v>
      </c>
      <c r="G191" s="127"/>
      <c r="H191" s="127"/>
      <c r="I191" s="270">
        <f>I192</f>
        <v>90.8</v>
      </c>
      <c r="J191" s="270">
        <f>J192</f>
        <v>0</v>
      </c>
      <c r="K191" s="263">
        <f t="shared" si="9"/>
        <v>0</v>
      </c>
    </row>
    <row r="192" spans="1:11" ht="27.75" customHeight="1">
      <c r="A192" s="258" t="s">
        <v>93</v>
      </c>
      <c r="B192" s="255" t="s">
        <v>67</v>
      </c>
      <c r="C192" s="256" t="s">
        <v>46</v>
      </c>
      <c r="D192" s="256" t="s">
        <v>8</v>
      </c>
      <c r="E192" s="256" t="s">
        <v>195</v>
      </c>
      <c r="F192" s="257" t="s">
        <v>148</v>
      </c>
      <c r="G192" s="127"/>
      <c r="H192" s="127"/>
      <c r="I192" s="270">
        <v>90.8</v>
      </c>
      <c r="J192" s="127"/>
      <c r="K192" s="263">
        <f t="shared" si="9"/>
        <v>0</v>
      </c>
    </row>
    <row r="193" spans="1:11" ht="39.75" customHeight="1">
      <c r="A193" s="5" t="s">
        <v>70</v>
      </c>
      <c r="B193" s="172" t="s">
        <v>67</v>
      </c>
      <c r="C193" s="173" t="s">
        <v>46</v>
      </c>
      <c r="D193" s="173" t="s">
        <v>8</v>
      </c>
      <c r="E193" s="173" t="s">
        <v>71</v>
      </c>
      <c r="F193" s="173" t="s">
        <v>7</v>
      </c>
      <c r="G193" s="74" t="e">
        <f>#REF!</f>
        <v>#REF!</v>
      </c>
      <c r="H193" s="74" t="e">
        <f>#REF!</f>
        <v>#REF!</v>
      </c>
      <c r="I193" s="264">
        <f>I194+I195</f>
        <v>2514</v>
      </c>
      <c r="J193" s="264">
        <f>J194+J195</f>
        <v>1823.3</v>
      </c>
      <c r="K193" s="263">
        <f t="shared" si="9"/>
        <v>72.52585521081942</v>
      </c>
    </row>
    <row r="194" spans="1:11" ht="48" customHeight="1">
      <c r="A194" s="324" t="s">
        <v>273</v>
      </c>
      <c r="B194" s="333" t="s">
        <v>67</v>
      </c>
      <c r="C194" s="334" t="s">
        <v>46</v>
      </c>
      <c r="D194" s="334" t="s">
        <v>8</v>
      </c>
      <c r="E194" s="334" t="s">
        <v>71</v>
      </c>
      <c r="F194" s="334" t="s">
        <v>274</v>
      </c>
      <c r="G194" s="335"/>
      <c r="H194" s="335"/>
      <c r="I194" s="329">
        <v>51</v>
      </c>
      <c r="J194" s="329">
        <v>10.6</v>
      </c>
      <c r="K194" s="263">
        <f t="shared" si="9"/>
        <v>20.784313725490193</v>
      </c>
    </row>
    <row r="195" spans="1:11" ht="63" customHeight="1">
      <c r="A195" s="336" t="s">
        <v>145</v>
      </c>
      <c r="B195" s="333" t="s">
        <v>67</v>
      </c>
      <c r="C195" s="334" t="s">
        <v>46</v>
      </c>
      <c r="D195" s="334" t="s">
        <v>8</v>
      </c>
      <c r="E195" s="334" t="s">
        <v>71</v>
      </c>
      <c r="F195" s="334" t="s">
        <v>141</v>
      </c>
      <c r="G195" s="335"/>
      <c r="H195" s="335"/>
      <c r="I195" s="329">
        <f>2478-15</f>
        <v>2463</v>
      </c>
      <c r="J195" s="337">
        <v>1812.7</v>
      </c>
      <c r="K195" s="263">
        <f t="shared" si="9"/>
        <v>73.59723913926106</v>
      </c>
    </row>
    <row r="196" spans="1:11" ht="27" customHeight="1">
      <c r="A196" s="6" t="s">
        <v>95</v>
      </c>
      <c r="B196" s="172" t="s">
        <v>67</v>
      </c>
      <c r="C196" s="173" t="s">
        <v>46</v>
      </c>
      <c r="D196" s="173" t="s">
        <v>8</v>
      </c>
      <c r="E196" s="173" t="s">
        <v>96</v>
      </c>
      <c r="F196" s="173" t="s">
        <v>7</v>
      </c>
      <c r="G196" s="74" t="e">
        <f>G197</f>
        <v>#REF!</v>
      </c>
      <c r="H196" s="75" t="e">
        <f>H197</f>
        <v>#REF!</v>
      </c>
      <c r="I196" s="263">
        <f>I197</f>
        <v>290</v>
      </c>
      <c r="J196" s="263">
        <f>J197</f>
        <v>242.4</v>
      </c>
      <c r="K196" s="263">
        <f t="shared" si="9"/>
        <v>83.58620689655173</v>
      </c>
    </row>
    <row r="197" spans="1:11" ht="37.5" customHeight="1">
      <c r="A197" s="4" t="s">
        <v>20</v>
      </c>
      <c r="B197" s="172" t="s">
        <v>67</v>
      </c>
      <c r="C197" s="173" t="s">
        <v>46</v>
      </c>
      <c r="D197" s="173" t="s">
        <v>8</v>
      </c>
      <c r="E197" s="173" t="s">
        <v>261</v>
      </c>
      <c r="F197" s="173" t="s">
        <v>7</v>
      </c>
      <c r="G197" s="74" t="e">
        <f>#REF!</f>
        <v>#REF!</v>
      </c>
      <c r="H197" s="74" t="e">
        <f>#REF!</f>
        <v>#REF!</v>
      </c>
      <c r="I197" s="264">
        <f>I198+I199+I200</f>
        <v>290</v>
      </c>
      <c r="J197" s="264">
        <f>J198+J199+J200</f>
        <v>242.4</v>
      </c>
      <c r="K197" s="263">
        <f t="shared" si="9"/>
        <v>83.58620689655173</v>
      </c>
    </row>
    <row r="198" spans="1:11" ht="27" customHeight="1">
      <c r="A198" s="212" t="s">
        <v>133</v>
      </c>
      <c r="B198" s="172" t="s">
        <v>67</v>
      </c>
      <c r="C198" s="173" t="s">
        <v>46</v>
      </c>
      <c r="D198" s="173" t="s">
        <v>8</v>
      </c>
      <c r="E198" s="173" t="s">
        <v>261</v>
      </c>
      <c r="F198" s="173" t="s">
        <v>135</v>
      </c>
      <c r="G198" s="74"/>
      <c r="H198" s="74"/>
      <c r="I198" s="264">
        <v>230</v>
      </c>
      <c r="J198" s="318">
        <v>221.9</v>
      </c>
      <c r="K198" s="263">
        <f t="shared" si="9"/>
        <v>96.47826086956522</v>
      </c>
    </row>
    <row r="199" spans="1:11" ht="31.5" customHeight="1">
      <c r="A199" s="121" t="s">
        <v>142</v>
      </c>
      <c r="B199" s="172" t="s">
        <v>67</v>
      </c>
      <c r="C199" s="173" t="s">
        <v>46</v>
      </c>
      <c r="D199" s="173" t="s">
        <v>8</v>
      </c>
      <c r="E199" s="173" t="s">
        <v>261</v>
      </c>
      <c r="F199" s="173" t="s">
        <v>129</v>
      </c>
      <c r="G199" s="74"/>
      <c r="H199" s="74"/>
      <c r="I199" s="264">
        <v>55</v>
      </c>
      <c r="J199" s="318">
        <v>19.4</v>
      </c>
      <c r="K199" s="263">
        <f t="shared" si="9"/>
        <v>35.27272727272727</v>
      </c>
    </row>
    <row r="200" spans="1:11" ht="32.25" customHeight="1">
      <c r="A200" s="212" t="s">
        <v>138</v>
      </c>
      <c r="B200" s="172" t="s">
        <v>67</v>
      </c>
      <c r="C200" s="173" t="s">
        <v>46</v>
      </c>
      <c r="D200" s="173" t="s">
        <v>8</v>
      </c>
      <c r="E200" s="173" t="s">
        <v>261</v>
      </c>
      <c r="F200" s="173" t="s">
        <v>137</v>
      </c>
      <c r="G200" s="74"/>
      <c r="H200" s="74"/>
      <c r="I200" s="264">
        <v>5</v>
      </c>
      <c r="J200" s="318">
        <v>1.1</v>
      </c>
      <c r="K200" s="263">
        <f t="shared" si="9"/>
        <v>22.000000000000004</v>
      </c>
    </row>
    <row r="201" spans="1:11" ht="19.5" customHeight="1">
      <c r="A201" s="6" t="s">
        <v>48</v>
      </c>
      <c r="B201" s="172" t="s">
        <v>67</v>
      </c>
      <c r="C201" s="173" t="s">
        <v>46</v>
      </c>
      <c r="D201" s="173" t="s">
        <v>8</v>
      </c>
      <c r="E201" s="173" t="s">
        <v>294</v>
      </c>
      <c r="F201" s="173" t="s">
        <v>44</v>
      </c>
      <c r="G201" s="74">
        <f>G202+G211</f>
        <v>0</v>
      </c>
      <c r="H201" s="75">
        <f>H202</f>
        <v>0</v>
      </c>
      <c r="I201" s="263">
        <f>I202+I210</f>
        <v>1500</v>
      </c>
      <c r="J201" s="263">
        <f>J202+J210</f>
        <v>1151</v>
      </c>
      <c r="K201" s="263">
        <f t="shared" si="9"/>
        <v>76.73333333333333</v>
      </c>
    </row>
    <row r="202" spans="1:11" ht="45.75" customHeight="1">
      <c r="A202" s="4" t="s">
        <v>70</v>
      </c>
      <c r="B202" s="172" t="s">
        <v>67</v>
      </c>
      <c r="C202" s="173" t="s">
        <v>46</v>
      </c>
      <c r="D202" s="173" t="s">
        <v>8</v>
      </c>
      <c r="E202" s="173" t="s">
        <v>72</v>
      </c>
      <c r="F202" s="173" t="s">
        <v>7</v>
      </c>
      <c r="G202" s="74">
        <f>G210</f>
        <v>0</v>
      </c>
      <c r="H202" s="74">
        <f>H210</f>
        <v>0</v>
      </c>
      <c r="I202" s="264">
        <f>I203+I204+I205+I206+I207+I208</f>
        <v>1300</v>
      </c>
      <c r="J202" s="264">
        <f>J203+J204+J205+J206+J207+J208</f>
        <v>1027.3</v>
      </c>
      <c r="K202" s="263">
        <f t="shared" si="9"/>
        <v>79.02307692307691</v>
      </c>
    </row>
    <row r="203" spans="1:11" ht="31.5" customHeight="1">
      <c r="A203" s="212" t="s">
        <v>133</v>
      </c>
      <c r="B203" s="172" t="s">
        <v>67</v>
      </c>
      <c r="C203" s="173" t="s">
        <v>46</v>
      </c>
      <c r="D203" s="173" t="s">
        <v>8</v>
      </c>
      <c r="E203" s="173" t="s">
        <v>72</v>
      </c>
      <c r="F203" s="173" t="s">
        <v>135</v>
      </c>
      <c r="G203" s="74"/>
      <c r="H203" s="74"/>
      <c r="I203" s="264">
        <v>992.5</v>
      </c>
      <c r="J203" s="318">
        <v>838.9</v>
      </c>
      <c r="K203" s="263">
        <f t="shared" si="9"/>
        <v>84.52392947103274</v>
      </c>
    </row>
    <row r="204" spans="1:11" ht="31.5" customHeight="1">
      <c r="A204" s="121" t="s">
        <v>132</v>
      </c>
      <c r="B204" s="172" t="s">
        <v>67</v>
      </c>
      <c r="C204" s="173" t="s">
        <v>46</v>
      </c>
      <c r="D204" s="173" t="s">
        <v>8</v>
      </c>
      <c r="E204" s="173" t="s">
        <v>72</v>
      </c>
      <c r="F204" s="173" t="s">
        <v>136</v>
      </c>
      <c r="G204" s="74"/>
      <c r="H204" s="74"/>
      <c r="I204" s="264">
        <v>4</v>
      </c>
      <c r="J204" s="318">
        <v>4</v>
      </c>
      <c r="K204" s="263">
        <f t="shared" si="9"/>
        <v>100</v>
      </c>
    </row>
    <row r="205" spans="1:11" ht="31.5" customHeight="1">
      <c r="A205" s="121" t="s">
        <v>142</v>
      </c>
      <c r="B205" s="172" t="s">
        <v>67</v>
      </c>
      <c r="C205" s="173" t="s">
        <v>46</v>
      </c>
      <c r="D205" s="173" t="s">
        <v>8</v>
      </c>
      <c r="E205" s="173" t="s">
        <v>72</v>
      </c>
      <c r="F205" s="173" t="s">
        <v>129</v>
      </c>
      <c r="G205" s="74"/>
      <c r="H205" s="74"/>
      <c r="I205" s="264">
        <v>255.5</v>
      </c>
      <c r="J205" s="318">
        <v>164.1</v>
      </c>
      <c r="K205" s="263">
        <f t="shared" si="9"/>
        <v>64.22700587084148</v>
      </c>
    </row>
    <row r="206" spans="1:11" ht="31.5" customHeight="1">
      <c r="A206" s="204" t="s">
        <v>273</v>
      </c>
      <c r="B206" s="172" t="s">
        <v>67</v>
      </c>
      <c r="C206" s="173" t="s">
        <v>46</v>
      </c>
      <c r="D206" s="173" t="s">
        <v>8</v>
      </c>
      <c r="E206" s="173" t="s">
        <v>72</v>
      </c>
      <c r="F206" s="173" t="s">
        <v>274</v>
      </c>
      <c r="G206" s="74"/>
      <c r="H206" s="74"/>
      <c r="I206" s="264">
        <f>24-4</f>
        <v>20</v>
      </c>
      <c r="J206" s="318">
        <v>12</v>
      </c>
      <c r="K206" s="263">
        <f t="shared" si="9"/>
        <v>60</v>
      </c>
    </row>
    <row r="207" spans="1:11" ht="29.25" customHeight="1">
      <c r="A207" s="212" t="s">
        <v>131</v>
      </c>
      <c r="B207" s="166" t="s">
        <v>67</v>
      </c>
      <c r="C207" s="101" t="s">
        <v>46</v>
      </c>
      <c r="D207" s="101" t="s">
        <v>8</v>
      </c>
      <c r="E207" s="101" t="s">
        <v>72</v>
      </c>
      <c r="F207" s="173" t="s">
        <v>130</v>
      </c>
      <c r="G207" s="74"/>
      <c r="H207" s="74"/>
      <c r="I207" s="264">
        <v>13</v>
      </c>
      <c r="J207" s="318">
        <v>5.6</v>
      </c>
      <c r="K207" s="263">
        <f t="shared" si="9"/>
        <v>43.07692307692307</v>
      </c>
    </row>
    <row r="208" spans="1:11" ht="29.25" customHeight="1">
      <c r="A208" s="212" t="s">
        <v>138</v>
      </c>
      <c r="B208" s="166" t="s">
        <v>67</v>
      </c>
      <c r="C208" s="101" t="s">
        <v>46</v>
      </c>
      <c r="D208" s="101" t="s">
        <v>8</v>
      </c>
      <c r="E208" s="101" t="s">
        <v>72</v>
      </c>
      <c r="F208" s="173" t="s">
        <v>137</v>
      </c>
      <c r="G208" s="74"/>
      <c r="H208" s="74"/>
      <c r="I208" s="264">
        <v>15</v>
      </c>
      <c r="J208" s="318">
        <v>2.7</v>
      </c>
      <c r="K208" s="263">
        <f aca="true" t="shared" si="14" ref="K208:K271">J208/I208*100</f>
        <v>18.000000000000004</v>
      </c>
    </row>
    <row r="209" spans="1:11" ht="74.25" customHeight="1">
      <c r="A209" s="237" t="s">
        <v>263</v>
      </c>
      <c r="B209" s="166" t="s">
        <v>67</v>
      </c>
      <c r="C209" s="101" t="s">
        <v>46</v>
      </c>
      <c r="D209" s="101" t="s">
        <v>8</v>
      </c>
      <c r="E209" s="101" t="s">
        <v>264</v>
      </c>
      <c r="F209" s="184" t="s">
        <v>7</v>
      </c>
      <c r="G209" s="74"/>
      <c r="H209" s="74"/>
      <c r="I209" s="264">
        <f>I210</f>
        <v>200</v>
      </c>
      <c r="J209" s="264">
        <f>J210</f>
        <v>123.69999999999999</v>
      </c>
      <c r="K209" s="263">
        <f t="shared" si="14"/>
        <v>61.849999999999994</v>
      </c>
    </row>
    <row r="210" spans="1:11" ht="47.25" customHeight="1">
      <c r="A210" s="121" t="s">
        <v>150</v>
      </c>
      <c r="B210" s="122" t="s">
        <v>67</v>
      </c>
      <c r="C210" s="7" t="s">
        <v>46</v>
      </c>
      <c r="D210" s="7" t="s">
        <v>8</v>
      </c>
      <c r="E210" s="7" t="s">
        <v>1</v>
      </c>
      <c r="F210" s="101" t="s">
        <v>7</v>
      </c>
      <c r="G210" s="127"/>
      <c r="H210" s="127"/>
      <c r="I210" s="270">
        <f>I211+I212</f>
        <v>200</v>
      </c>
      <c r="J210" s="270">
        <f>J211+J212</f>
        <v>123.69999999999999</v>
      </c>
      <c r="K210" s="263">
        <f t="shared" si="14"/>
        <v>61.849999999999994</v>
      </c>
    </row>
    <row r="211" spans="1:11" ht="30.75" customHeight="1">
      <c r="A211" s="212" t="s">
        <v>133</v>
      </c>
      <c r="B211" s="122" t="s">
        <v>67</v>
      </c>
      <c r="C211" s="7" t="s">
        <v>46</v>
      </c>
      <c r="D211" s="7" t="s">
        <v>8</v>
      </c>
      <c r="E211" s="7" t="s">
        <v>1</v>
      </c>
      <c r="F211" s="101" t="s">
        <v>135</v>
      </c>
      <c r="G211" s="128"/>
      <c r="H211" s="128"/>
      <c r="I211" s="267">
        <v>114.5</v>
      </c>
      <c r="J211" s="319">
        <v>93.3</v>
      </c>
      <c r="K211" s="263">
        <f t="shared" si="14"/>
        <v>81.48471615720524</v>
      </c>
    </row>
    <row r="212" spans="1:11" ht="32.25" customHeight="1">
      <c r="A212" s="121" t="s">
        <v>142</v>
      </c>
      <c r="B212" s="122" t="s">
        <v>67</v>
      </c>
      <c r="C212" s="7" t="s">
        <v>46</v>
      </c>
      <c r="D212" s="7" t="s">
        <v>8</v>
      </c>
      <c r="E212" s="7" t="s">
        <v>1</v>
      </c>
      <c r="F212" s="101" t="s">
        <v>129</v>
      </c>
      <c r="G212" s="128"/>
      <c r="H212" s="128"/>
      <c r="I212" s="267">
        <v>85.5</v>
      </c>
      <c r="J212" s="319">
        <v>30.4</v>
      </c>
      <c r="K212" s="263">
        <f t="shared" si="14"/>
        <v>35.55555555555555</v>
      </c>
    </row>
    <row r="213" spans="1:11" ht="46.5" customHeight="1">
      <c r="A213" s="280" t="s">
        <v>192</v>
      </c>
      <c r="B213" s="281" t="s">
        <v>67</v>
      </c>
      <c r="C213" s="282" t="s">
        <v>46</v>
      </c>
      <c r="D213" s="282" t="s">
        <v>8</v>
      </c>
      <c r="E213" s="282" t="s">
        <v>230</v>
      </c>
      <c r="F213" s="283" t="s">
        <v>7</v>
      </c>
      <c r="G213" s="284"/>
      <c r="H213" s="284"/>
      <c r="I213" s="285">
        <f>I214</f>
        <v>18</v>
      </c>
      <c r="J213" s="285">
        <f>J214</f>
        <v>0</v>
      </c>
      <c r="K213" s="263">
        <f t="shared" si="14"/>
        <v>0</v>
      </c>
    </row>
    <row r="214" spans="1:14" ht="58.5" customHeight="1">
      <c r="A214" s="226" t="s">
        <v>193</v>
      </c>
      <c r="B214" s="122" t="s">
        <v>67</v>
      </c>
      <c r="C214" s="7" t="s">
        <v>46</v>
      </c>
      <c r="D214" s="7" t="s">
        <v>8</v>
      </c>
      <c r="E214" s="7" t="s">
        <v>231</v>
      </c>
      <c r="F214" s="101" t="s">
        <v>7</v>
      </c>
      <c r="G214" s="128"/>
      <c r="H214" s="128"/>
      <c r="I214" s="267">
        <f>I215</f>
        <v>18</v>
      </c>
      <c r="J214" s="267">
        <f>J215</f>
        <v>0</v>
      </c>
      <c r="K214" s="263">
        <f t="shared" si="14"/>
        <v>0</v>
      </c>
      <c r="N214" s="176"/>
    </row>
    <row r="215" spans="1:11" ht="38.25" customHeight="1">
      <c r="A215" s="121" t="s">
        <v>142</v>
      </c>
      <c r="B215" s="122" t="s">
        <v>67</v>
      </c>
      <c r="C215" s="7" t="s">
        <v>46</v>
      </c>
      <c r="D215" s="7" t="s">
        <v>8</v>
      </c>
      <c r="E215" s="7" t="s">
        <v>231</v>
      </c>
      <c r="F215" s="101" t="s">
        <v>129</v>
      </c>
      <c r="G215" s="128"/>
      <c r="H215" s="128"/>
      <c r="I215" s="267">
        <v>18</v>
      </c>
      <c r="J215" s="128"/>
      <c r="K215" s="263">
        <f t="shared" si="14"/>
        <v>0</v>
      </c>
    </row>
    <row r="216" spans="1:11" ht="81" customHeight="1">
      <c r="A216" s="204" t="s">
        <v>217</v>
      </c>
      <c r="B216" s="122" t="s">
        <v>67</v>
      </c>
      <c r="C216" s="7" t="s">
        <v>46</v>
      </c>
      <c r="D216" s="7" t="s">
        <v>8</v>
      </c>
      <c r="E216" s="7" t="s">
        <v>220</v>
      </c>
      <c r="F216" s="92" t="s">
        <v>7</v>
      </c>
      <c r="G216" s="128"/>
      <c r="H216" s="128"/>
      <c r="I216" s="267">
        <f>I217</f>
        <v>15</v>
      </c>
      <c r="J216" s="267">
        <f>J217</f>
        <v>0</v>
      </c>
      <c r="K216" s="263">
        <f t="shared" si="14"/>
        <v>0</v>
      </c>
    </row>
    <row r="217" spans="1:11" ht="39" customHeight="1">
      <c r="A217" s="121" t="s">
        <v>142</v>
      </c>
      <c r="B217" s="122" t="s">
        <v>67</v>
      </c>
      <c r="C217" s="7" t="s">
        <v>46</v>
      </c>
      <c r="D217" s="7" t="s">
        <v>8</v>
      </c>
      <c r="E217" s="7" t="s">
        <v>220</v>
      </c>
      <c r="F217" s="92" t="s">
        <v>129</v>
      </c>
      <c r="G217" s="128"/>
      <c r="H217" s="128"/>
      <c r="I217" s="267">
        <v>15</v>
      </c>
      <c r="J217" s="128"/>
      <c r="K217" s="263">
        <f t="shared" si="14"/>
        <v>0</v>
      </c>
    </row>
    <row r="218" spans="1:11" ht="36.75" customHeight="1">
      <c r="A218" s="17" t="s">
        <v>121</v>
      </c>
      <c r="B218" s="102" t="s">
        <v>67</v>
      </c>
      <c r="C218" s="21" t="s">
        <v>46</v>
      </c>
      <c r="D218" s="21" t="s">
        <v>15</v>
      </c>
      <c r="E218" s="21" t="s">
        <v>29</v>
      </c>
      <c r="F218" s="21" t="s">
        <v>7</v>
      </c>
      <c r="G218" s="76" t="e">
        <f aca="true" t="shared" si="15" ref="G218:J219">G219</f>
        <v>#REF!</v>
      </c>
      <c r="H218" s="76" t="e">
        <f t="shared" si="15"/>
        <v>#REF!</v>
      </c>
      <c r="I218" s="263">
        <f t="shared" si="15"/>
        <v>470</v>
      </c>
      <c r="J218" s="263">
        <f t="shared" si="15"/>
        <v>368.30000000000007</v>
      </c>
      <c r="K218" s="263">
        <f t="shared" si="14"/>
        <v>78.3617021276596</v>
      </c>
    </row>
    <row r="219" spans="1:11" ht="78.75" customHeight="1">
      <c r="A219" s="212" t="s">
        <v>59</v>
      </c>
      <c r="B219" s="118" t="s">
        <v>67</v>
      </c>
      <c r="C219" s="63" t="s">
        <v>46</v>
      </c>
      <c r="D219" s="63" t="s">
        <v>15</v>
      </c>
      <c r="E219" s="63" t="s">
        <v>65</v>
      </c>
      <c r="F219" s="63" t="s">
        <v>7</v>
      </c>
      <c r="G219" s="72" t="e">
        <f t="shared" si="15"/>
        <v>#REF!</v>
      </c>
      <c r="H219" s="72" t="e">
        <f t="shared" si="15"/>
        <v>#REF!</v>
      </c>
      <c r="I219" s="266">
        <f t="shared" si="15"/>
        <v>470</v>
      </c>
      <c r="J219" s="266">
        <f t="shared" si="15"/>
        <v>368.30000000000007</v>
      </c>
      <c r="K219" s="263">
        <f t="shared" si="14"/>
        <v>78.3617021276596</v>
      </c>
    </row>
    <row r="220" spans="1:11" ht="30" customHeight="1">
      <c r="A220" s="212" t="s">
        <v>18</v>
      </c>
      <c r="B220" s="118" t="s">
        <v>67</v>
      </c>
      <c r="C220" s="63" t="s">
        <v>46</v>
      </c>
      <c r="D220" s="63" t="s">
        <v>15</v>
      </c>
      <c r="E220" s="63" t="s">
        <v>66</v>
      </c>
      <c r="F220" s="63" t="s">
        <v>7</v>
      </c>
      <c r="G220" s="72" t="e">
        <f>#REF!</f>
        <v>#REF!</v>
      </c>
      <c r="H220" s="72" t="e">
        <f>#REF!</f>
        <v>#REF!</v>
      </c>
      <c r="I220" s="266">
        <f>I221+I222+I223+I224</f>
        <v>470</v>
      </c>
      <c r="J220" s="266">
        <f>J221+J222+J223+J224</f>
        <v>368.30000000000007</v>
      </c>
      <c r="K220" s="263">
        <f t="shared" si="14"/>
        <v>78.3617021276596</v>
      </c>
    </row>
    <row r="221" spans="1:11" ht="23.25" customHeight="1">
      <c r="A221" s="212" t="s">
        <v>133</v>
      </c>
      <c r="B221" s="118" t="s">
        <v>67</v>
      </c>
      <c r="C221" s="63" t="s">
        <v>46</v>
      </c>
      <c r="D221" s="63" t="s">
        <v>15</v>
      </c>
      <c r="E221" s="63" t="s">
        <v>66</v>
      </c>
      <c r="F221" s="120" t="s">
        <v>127</v>
      </c>
      <c r="G221" s="77"/>
      <c r="H221" s="77"/>
      <c r="I221" s="266">
        <v>394</v>
      </c>
      <c r="J221" s="315">
        <v>341.1</v>
      </c>
      <c r="K221" s="263">
        <f t="shared" si="14"/>
        <v>86.57360406091371</v>
      </c>
    </row>
    <row r="222" spans="1:11" ht="30" customHeight="1">
      <c r="A222" s="121" t="s">
        <v>142</v>
      </c>
      <c r="B222" s="118" t="s">
        <v>67</v>
      </c>
      <c r="C222" s="63" t="s">
        <v>46</v>
      </c>
      <c r="D222" s="63" t="s">
        <v>15</v>
      </c>
      <c r="E222" s="63" t="s">
        <v>66</v>
      </c>
      <c r="F222" s="120" t="s">
        <v>129</v>
      </c>
      <c r="G222" s="77"/>
      <c r="H222" s="77"/>
      <c r="I222" s="266">
        <f>69-0.051</f>
        <v>68.949</v>
      </c>
      <c r="J222" s="315">
        <v>24.8</v>
      </c>
      <c r="K222" s="263">
        <f t="shared" si="14"/>
        <v>35.96861448316872</v>
      </c>
    </row>
    <row r="223" spans="1:11" ht="28.5" customHeight="1">
      <c r="A223" s="212" t="s">
        <v>131</v>
      </c>
      <c r="B223" s="118" t="s">
        <v>67</v>
      </c>
      <c r="C223" s="63" t="s">
        <v>46</v>
      </c>
      <c r="D223" s="63" t="s">
        <v>15</v>
      </c>
      <c r="E223" s="63" t="s">
        <v>66</v>
      </c>
      <c r="F223" s="120" t="s">
        <v>130</v>
      </c>
      <c r="G223" s="72"/>
      <c r="H223" s="72"/>
      <c r="I223" s="277">
        <v>0.051</v>
      </c>
      <c r="J223" s="315">
        <v>0.1</v>
      </c>
      <c r="K223" s="263">
        <f t="shared" si="14"/>
        <v>196.07843137254903</v>
      </c>
    </row>
    <row r="224" spans="1:11" ht="33.75" customHeight="1">
      <c r="A224" s="212" t="s">
        <v>138</v>
      </c>
      <c r="B224" s="160" t="s">
        <v>67</v>
      </c>
      <c r="C224" s="120" t="s">
        <v>46</v>
      </c>
      <c r="D224" s="120" t="s">
        <v>15</v>
      </c>
      <c r="E224" s="120" t="s">
        <v>66</v>
      </c>
      <c r="F224" s="120" t="s">
        <v>137</v>
      </c>
      <c r="G224" s="72"/>
      <c r="H224" s="72"/>
      <c r="I224" s="277">
        <v>7</v>
      </c>
      <c r="J224" s="315">
        <v>2.3</v>
      </c>
      <c r="K224" s="263">
        <f t="shared" si="14"/>
        <v>32.857142857142854</v>
      </c>
    </row>
    <row r="225" spans="1:11" ht="48.75" customHeight="1">
      <c r="A225" s="205" t="s">
        <v>106</v>
      </c>
      <c r="B225" s="129" t="s">
        <v>77</v>
      </c>
      <c r="C225" s="130" t="s">
        <v>16</v>
      </c>
      <c r="D225" s="130" t="s">
        <v>16</v>
      </c>
      <c r="E225" s="130" t="s">
        <v>29</v>
      </c>
      <c r="F225" s="130" t="s">
        <v>7</v>
      </c>
      <c r="G225" s="136" t="e">
        <f>G226+#REF!+#REF!</f>
        <v>#REF!</v>
      </c>
      <c r="H225" s="136">
        <v>35429</v>
      </c>
      <c r="I225" s="263">
        <f>I226+I347</f>
        <v>125049.99999999999</v>
      </c>
      <c r="J225" s="263">
        <f>J226+J347</f>
        <v>86532</v>
      </c>
      <c r="K225" s="263">
        <f t="shared" si="14"/>
        <v>69.19792083166733</v>
      </c>
    </row>
    <row r="226" spans="1:11" ht="18.75" customHeight="1">
      <c r="A226" s="217" t="s">
        <v>12</v>
      </c>
      <c r="B226" s="116" t="s">
        <v>77</v>
      </c>
      <c r="C226" s="15" t="s">
        <v>11</v>
      </c>
      <c r="D226" s="15" t="s">
        <v>26</v>
      </c>
      <c r="E226" s="15" t="s">
        <v>29</v>
      </c>
      <c r="F226" s="15" t="s">
        <v>7</v>
      </c>
      <c r="G226" s="68" t="e">
        <f>G227+G248+G302+#REF!</f>
        <v>#REF!</v>
      </c>
      <c r="H226" s="68" t="e">
        <f>H227+H248+H302+#REF!</f>
        <v>#REF!</v>
      </c>
      <c r="I226" s="263">
        <f>I227+I248+I293+I302</f>
        <v>110755.89999999998</v>
      </c>
      <c r="J226" s="263">
        <f>J227+J248+J293+J302</f>
        <v>75303.5</v>
      </c>
      <c r="K226" s="263">
        <f t="shared" si="14"/>
        <v>67.99050885776741</v>
      </c>
    </row>
    <row r="227" spans="1:11" ht="22.5" customHeight="1">
      <c r="A227" s="222" t="s">
        <v>35</v>
      </c>
      <c r="B227" s="116" t="s">
        <v>77</v>
      </c>
      <c r="C227" s="15" t="s">
        <v>11</v>
      </c>
      <c r="D227" s="15" t="s">
        <v>8</v>
      </c>
      <c r="E227" s="15" t="s">
        <v>29</v>
      </c>
      <c r="F227" s="15" t="s">
        <v>7</v>
      </c>
      <c r="G227" s="76" t="e">
        <f>G228</f>
        <v>#REF!</v>
      </c>
      <c r="H227" s="76" t="e">
        <f>H228</f>
        <v>#REF!</v>
      </c>
      <c r="I227" s="263">
        <f>I228+I237+I241</f>
        <v>17382.1</v>
      </c>
      <c r="J227" s="263">
        <f>J228+J237+J241</f>
        <v>14072.9</v>
      </c>
      <c r="K227" s="263">
        <f t="shared" si="14"/>
        <v>80.96202415128208</v>
      </c>
    </row>
    <row r="228" spans="1:11" ht="27" customHeight="1">
      <c r="A228" s="222" t="s">
        <v>36</v>
      </c>
      <c r="B228" s="116" t="s">
        <v>77</v>
      </c>
      <c r="C228" s="15" t="s">
        <v>11</v>
      </c>
      <c r="D228" s="15" t="s">
        <v>8</v>
      </c>
      <c r="E228" s="15" t="s">
        <v>37</v>
      </c>
      <c r="F228" s="15" t="s">
        <v>7</v>
      </c>
      <c r="G228" s="44" t="e">
        <f>G229+#REF!</f>
        <v>#REF!</v>
      </c>
      <c r="H228" s="44" t="e">
        <f>H229+#REF!</f>
        <v>#REF!</v>
      </c>
      <c r="I228" s="263">
        <f>I229</f>
        <v>7623.099999999999</v>
      </c>
      <c r="J228" s="263">
        <f>J229</f>
        <v>5928.2</v>
      </c>
      <c r="K228" s="263">
        <f t="shared" si="14"/>
        <v>77.76626306883027</v>
      </c>
    </row>
    <row r="229" spans="1:11" ht="36.75" customHeight="1">
      <c r="A229" s="16" t="s">
        <v>20</v>
      </c>
      <c r="B229" s="106" t="s">
        <v>77</v>
      </c>
      <c r="C229" s="32" t="s">
        <v>11</v>
      </c>
      <c r="D229" s="32" t="s">
        <v>8</v>
      </c>
      <c r="E229" s="32" t="s">
        <v>78</v>
      </c>
      <c r="F229" s="32" t="s">
        <v>7</v>
      </c>
      <c r="G229" s="48">
        <f>G230</f>
        <v>0</v>
      </c>
      <c r="H229" s="48">
        <f>H230</f>
        <v>14355.6</v>
      </c>
      <c r="I229" s="264">
        <f>I230+I231+I232+I233+I234+I235</f>
        <v>7623.099999999999</v>
      </c>
      <c r="J229" s="264">
        <f>J230+J231+J232+J233+J234+J235</f>
        <v>5928.2</v>
      </c>
      <c r="K229" s="263">
        <f t="shared" si="14"/>
        <v>77.76626306883027</v>
      </c>
    </row>
    <row r="230" spans="1:11" ht="28.5" customHeight="1">
      <c r="A230" s="212" t="s">
        <v>133</v>
      </c>
      <c r="B230" s="106" t="s">
        <v>77</v>
      </c>
      <c r="C230" s="32" t="s">
        <v>11</v>
      </c>
      <c r="D230" s="32" t="s">
        <v>8</v>
      </c>
      <c r="E230" s="32" t="s">
        <v>78</v>
      </c>
      <c r="F230" s="94" t="s">
        <v>135</v>
      </c>
      <c r="G230" s="48"/>
      <c r="H230" s="48">
        <v>14355.6</v>
      </c>
      <c r="I230" s="264">
        <v>1649.2</v>
      </c>
      <c r="J230" s="318">
        <v>1351.5</v>
      </c>
      <c r="K230" s="263">
        <f t="shared" si="14"/>
        <v>81.94882367208344</v>
      </c>
    </row>
    <row r="231" spans="1:11" ht="34.5" customHeight="1">
      <c r="A231" s="121" t="s">
        <v>132</v>
      </c>
      <c r="B231" s="106" t="s">
        <v>77</v>
      </c>
      <c r="C231" s="32" t="s">
        <v>11</v>
      </c>
      <c r="D231" s="32" t="s">
        <v>8</v>
      </c>
      <c r="E231" s="32" t="s">
        <v>78</v>
      </c>
      <c r="F231" s="94" t="s">
        <v>136</v>
      </c>
      <c r="G231" s="48"/>
      <c r="H231" s="48"/>
      <c r="I231" s="264">
        <v>12</v>
      </c>
      <c r="J231" s="264">
        <v>7.8</v>
      </c>
      <c r="K231" s="263">
        <f t="shared" si="14"/>
        <v>65</v>
      </c>
    </row>
    <row r="232" spans="1:11" ht="34.5" customHeight="1">
      <c r="A232" s="121" t="s">
        <v>142</v>
      </c>
      <c r="B232" s="106" t="s">
        <v>77</v>
      </c>
      <c r="C232" s="32" t="s">
        <v>11</v>
      </c>
      <c r="D232" s="32" t="s">
        <v>8</v>
      </c>
      <c r="E232" s="32" t="s">
        <v>78</v>
      </c>
      <c r="F232" s="94" t="s">
        <v>129</v>
      </c>
      <c r="G232" s="48"/>
      <c r="H232" s="48"/>
      <c r="I232" s="264">
        <v>1215.1</v>
      </c>
      <c r="J232" s="264">
        <v>699.7</v>
      </c>
      <c r="K232" s="263">
        <f t="shared" si="14"/>
        <v>57.583737963953595</v>
      </c>
    </row>
    <row r="233" spans="1:11" ht="67.5" customHeight="1">
      <c r="A233" s="121" t="s">
        <v>145</v>
      </c>
      <c r="B233" s="106" t="s">
        <v>77</v>
      </c>
      <c r="C233" s="32" t="s">
        <v>11</v>
      </c>
      <c r="D233" s="32" t="s">
        <v>8</v>
      </c>
      <c r="E233" s="32" t="s">
        <v>78</v>
      </c>
      <c r="F233" s="94" t="s">
        <v>141</v>
      </c>
      <c r="G233" s="48"/>
      <c r="H233" s="48"/>
      <c r="I233" s="264">
        <v>4644.7</v>
      </c>
      <c r="J233" s="318">
        <v>3787.2</v>
      </c>
      <c r="K233" s="263">
        <f t="shared" si="14"/>
        <v>81.53809718604</v>
      </c>
    </row>
    <row r="234" spans="1:11" ht="29.25" customHeight="1">
      <c r="A234" s="212" t="s">
        <v>131</v>
      </c>
      <c r="B234" s="106" t="s">
        <v>77</v>
      </c>
      <c r="C234" s="32" t="s">
        <v>11</v>
      </c>
      <c r="D234" s="32" t="s">
        <v>8</v>
      </c>
      <c r="E234" s="32" t="s">
        <v>78</v>
      </c>
      <c r="F234" s="120" t="s">
        <v>130</v>
      </c>
      <c r="G234" s="48"/>
      <c r="H234" s="48"/>
      <c r="I234" s="264">
        <v>95.4</v>
      </c>
      <c r="J234" s="318">
        <v>77.5</v>
      </c>
      <c r="K234" s="263">
        <f t="shared" si="14"/>
        <v>81.23689727463312</v>
      </c>
    </row>
    <row r="235" spans="1:11" ht="37.5" customHeight="1">
      <c r="A235" s="212" t="s">
        <v>138</v>
      </c>
      <c r="B235" s="153" t="s">
        <v>77</v>
      </c>
      <c r="C235" s="98" t="s">
        <v>11</v>
      </c>
      <c r="D235" s="98" t="s">
        <v>8</v>
      </c>
      <c r="E235" s="98" t="s">
        <v>78</v>
      </c>
      <c r="F235" s="120" t="s">
        <v>137</v>
      </c>
      <c r="G235" s="48"/>
      <c r="H235" s="48"/>
      <c r="I235" s="264">
        <v>6.7</v>
      </c>
      <c r="J235" s="318">
        <v>4.5</v>
      </c>
      <c r="K235" s="263">
        <f t="shared" si="14"/>
        <v>67.16417910447761</v>
      </c>
    </row>
    <row r="236" spans="1:11" ht="83.25" customHeight="1">
      <c r="A236" s="212" t="s">
        <v>263</v>
      </c>
      <c r="B236" s="153" t="s">
        <v>77</v>
      </c>
      <c r="C236" s="98" t="s">
        <v>11</v>
      </c>
      <c r="D236" s="98" t="s">
        <v>8</v>
      </c>
      <c r="E236" s="98" t="s">
        <v>264</v>
      </c>
      <c r="F236" s="120" t="s">
        <v>7</v>
      </c>
      <c r="G236" s="48"/>
      <c r="H236" s="48"/>
      <c r="I236" s="264">
        <f>I237</f>
        <v>9672</v>
      </c>
      <c r="J236" s="264">
        <f>J237</f>
        <v>8057.7</v>
      </c>
      <c r="K236" s="263">
        <f t="shared" si="14"/>
        <v>83.30955334987593</v>
      </c>
    </row>
    <row r="237" spans="1:11" ht="59.25" customHeight="1">
      <c r="A237" s="121" t="s">
        <v>150</v>
      </c>
      <c r="B237" s="37">
        <v>574</v>
      </c>
      <c r="C237" s="98" t="s">
        <v>11</v>
      </c>
      <c r="D237" s="98" t="s">
        <v>8</v>
      </c>
      <c r="E237" s="98" t="s">
        <v>1</v>
      </c>
      <c r="F237" s="98" t="s">
        <v>7</v>
      </c>
      <c r="G237" s="48"/>
      <c r="H237" s="48"/>
      <c r="I237" s="264">
        <f>I238+I239+I240</f>
        <v>9672</v>
      </c>
      <c r="J237" s="264">
        <f>J238+J239+J240</f>
        <v>8057.7</v>
      </c>
      <c r="K237" s="263">
        <f t="shared" si="14"/>
        <v>83.30955334987593</v>
      </c>
    </row>
    <row r="238" spans="1:11" ht="32.25" customHeight="1">
      <c r="A238" s="212" t="s">
        <v>133</v>
      </c>
      <c r="B238" s="37">
        <v>574</v>
      </c>
      <c r="C238" s="98" t="s">
        <v>11</v>
      </c>
      <c r="D238" s="98" t="s">
        <v>8</v>
      </c>
      <c r="E238" s="98" t="s">
        <v>1</v>
      </c>
      <c r="F238" s="98" t="s">
        <v>135</v>
      </c>
      <c r="G238" s="48"/>
      <c r="H238" s="48"/>
      <c r="I238" s="264">
        <f>2700-400-400</f>
        <v>1900</v>
      </c>
      <c r="J238" s="318">
        <v>1475</v>
      </c>
      <c r="K238" s="263">
        <f t="shared" si="14"/>
        <v>77.63157894736842</v>
      </c>
    </row>
    <row r="239" spans="1:11" ht="39" customHeight="1">
      <c r="A239" s="121" t="s">
        <v>142</v>
      </c>
      <c r="B239" s="37">
        <v>574</v>
      </c>
      <c r="C239" s="98" t="s">
        <v>11</v>
      </c>
      <c r="D239" s="98" t="s">
        <v>8</v>
      </c>
      <c r="E239" s="98" t="s">
        <v>1</v>
      </c>
      <c r="F239" s="98" t="s">
        <v>129</v>
      </c>
      <c r="G239" s="48"/>
      <c r="H239" s="48"/>
      <c r="I239" s="264">
        <v>72</v>
      </c>
      <c r="J239" s="318">
        <v>68.2</v>
      </c>
      <c r="K239" s="263">
        <f t="shared" si="14"/>
        <v>94.72222222222223</v>
      </c>
    </row>
    <row r="240" spans="1:11" ht="68.25" customHeight="1">
      <c r="A240" s="121" t="s">
        <v>145</v>
      </c>
      <c r="B240" s="37">
        <v>574</v>
      </c>
      <c r="C240" s="98" t="s">
        <v>11</v>
      </c>
      <c r="D240" s="98" t="s">
        <v>8</v>
      </c>
      <c r="E240" s="98" t="s">
        <v>1</v>
      </c>
      <c r="F240" s="98" t="s">
        <v>141</v>
      </c>
      <c r="G240" s="48"/>
      <c r="H240" s="48"/>
      <c r="I240" s="264">
        <v>7700</v>
      </c>
      <c r="J240" s="318">
        <v>6514.5</v>
      </c>
      <c r="K240" s="263">
        <f t="shared" si="14"/>
        <v>84.6038961038961</v>
      </c>
    </row>
    <row r="241" spans="1:11" ht="126.75" customHeight="1">
      <c r="A241" s="212" t="s">
        <v>158</v>
      </c>
      <c r="B241" s="153" t="s">
        <v>77</v>
      </c>
      <c r="C241" s="98" t="s">
        <v>11</v>
      </c>
      <c r="D241" s="98" t="s">
        <v>8</v>
      </c>
      <c r="E241" s="98" t="s">
        <v>159</v>
      </c>
      <c r="F241" s="120" t="s">
        <v>7</v>
      </c>
      <c r="G241" s="48"/>
      <c r="H241" s="48"/>
      <c r="I241" s="264">
        <f>I242+I245</f>
        <v>86.99999999999999</v>
      </c>
      <c r="J241" s="264">
        <f>J242+J245</f>
        <v>87</v>
      </c>
      <c r="K241" s="263">
        <f t="shared" si="14"/>
        <v>100.00000000000003</v>
      </c>
    </row>
    <row r="242" spans="1:11" ht="75" customHeight="1">
      <c r="A242" s="212" t="s">
        <v>183</v>
      </c>
      <c r="B242" s="153" t="s">
        <v>77</v>
      </c>
      <c r="C242" s="98" t="s">
        <v>11</v>
      </c>
      <c r="D242" s="98" t="s">
        <v>8</v>
      </c>
      <c r="E242" s="98" t="s">
        <v>184</v>
      </c>
      <c r="F242" s="120" t="s">
        <v>7</v>
      </c>
      <c r="G242" s="48"/>
      <c r="H242" s="48"/>
      <c r="I242" s="264">
        <f>I243+I244</f>
        <v>67.19999999999999</v>
      </c>
      <c r="J242" s="264">
        <f>J243+J244</f>
        <v>67.2</v>
      </c>
      <c r="K242" s="263">
        <f t="shared" si="14"/>
        <v>100.00000000000003</v>
      </c>
    </row>
    <row r="243" spans="1:11" ht="60.75" customHeight="1">
      <c r="A243" s="121" t="s">
        <v>145</v>
      </c>
      <c r="B243" s="153" t="s">
        <v>77</v>
      </c>
      <c r="C243" s="98" t="s">
        <v>11</v>
      </c>
      <c r="D243" s="98" t="s">
        <v>8</v>
      </c>
      <c r="E243" s="98" t="s">
        <v>184</v>
      </c>
      <c r="F243" s="120" t="s">
        <v>141</v>
      </c>
      <c r="G243" s="48"/>
      <c r="H243" s="48"/>
      <c r="I243" s="264">
        <f>44.8-0.7</f>
        <v>44.099999999999994</v>
      </c>
      <c r="J243" s="318">
        <v>44.1</v>
      </c>
      <c r="K243" s="263">
        <f t="shared" si="14"/>
        <v>100.00000000000003</v>
      </c>
    </row>
    <row r="244" spans="1:11" ht="34.5" customHeight="1">
      <c r="A244" s="157" t="s">
        <v>289</v>
      </c>
      <c r="B244" s="153" t="s">
        <v>77</v>
      </c>
      <c r="C244" s="98" t="s">
        <v>11</v>
      </c>
      <c r="D244" s="98" t="s">
        <v>8</v>
      </c>
      <c r="E244" s="98" t="s">
        <v>184</v>
      </c>
      <c r="F244" s="120" t="s">
        <v>290</v>
      </c>
      <c r="G244" s="48"/>
      <c r="H244" s="48"/>
      <c r="I244" s="264">
        <v>23.1</v>
      </c>
      <c r="J244" s="318">
        <v>23.1</v>
      </c>
      <c r="K244" s="263">
        <f t="shared" si="14"/>
        <v>100</v>
      </c>
    </row>
    <row r="245" spans="1:11" ht="46.5" customHeight="1">
      <c r="A245" s="121" t="s">
        <v>214</v>
      </c>
      <c r="B245" s="153" t="s">
        <v>77</v>
      </c>
      <c r="C245" s="98" t="s">
        <v>11</v>
      </c>
      <c r="D245" s="98" t="s">
        <v>8</v>
      </c>
      <c r="E245" s="98" t="s">
        <v>215</v>
      </c>
      <c r="F245" s="120" t="s">
        <v>7</v>
      </c>
      <c r="G245" s="48"/>
      <c r="H245" s="48"/>
      <c r="I245" s="264">
        <f>I246+I247</f>
        <v>19.8</v>
      </c>
      <c r="J245" s="264">
        <f>J246+J247</f>
        <v>19.8</v>
      </c>
      <c r="K245" s="263">
        <f t="shared" si="14"/>
        <v>100</v>
      </c>
    </row>
    <row r="246" spans="1:11" ht="29.25" customHeight="1">
      <c r="A246" s="121" t="s">
        <v>181</v>
      </c>
      <c r="B246" s="153" t="s">
        <v>77</v>
      </c>
      <c r="C246" s="98" t="s">
        <v>11</v>
      </c>
      <c r="D246" s="98" t="s">
        <v>8</v>
      </c>
      <c r="E246" s="98" t="s">
        <v>215</v>
      </c>
      <c r="F246" s="120" t="s">
        <v>182</v>
      </c>
      <c r="G246" s="48"/>
      <c r="H246" s="48"/>
      <c r="I246" s="264">
        <v>3.3</v>
      </c>
      <c r="J246" s="318">
        <v>3.3</v>
      </c>
      <c r="K246" s="263">
        <f t="shared" si="14"/>
        <v>100</v>
      </c>
    </row>
    <row r="247" spans="1:11" ht="33" customHeight="1">
      <c r="A247" s="157" t="s">
        <v>289</v>
      </c>
      <c r="B247" s="153" t="s">
        <v>77</v>
      </c>
      <c r="C247" s="98" t="s">
        <v>11</v>
      </c>
      <c r="D247" s="98" t="s">
        <v>8</v>
      </c>
      <c r="E247" s="98" t="s">
        <v>215</v>
      </c>
      <c r="F247" s="120" t="s">
        <v>290</v>
      </c>
      <c r="G247" s="48"/>
      <c r="H247" s="48"/>
      <c r="I247" s="264">
        <f>13.2+3.3</f>
        <v>16.5</v>
      </c>
      <c r="J247" s="318">
        <v>16.5</v>
      </c>
      <c r="K247" s="263">
        <f t="shared" si="14"/>
        <v>100</v>
      </c>
    </row>
    <row r="248" spans="1:12" ht="29.25" customHeight="1">
      <c r="A248" s="288" t="s">
        <v>13</v>
      </c>
      <c r="B248" s="105" t="s">
        <v>77</v>
      </c>
      <c r="C248" s="29" t="s">
        <v>11</v>
      </c>
      <c r="D248" s="29" t="s">
        <v>10</v>
      </c>
      <c r="E248" s="29" t="s">
        <v>29</v>
      </c>
      <c r="F248" s="29" t="s">
        <v>7</v>
      </c>
      <c r="G248" s="46" t="e">
        <f>G249+G256+#REF!+#REF!+#REF!+#REF!</f>
        <v>#REF!</v>
      </c>
      <c r="H248" s="46" t="e">
        <f>H249+H256+#REF!+#REF!+#REF!+#REF!</f>
        <v>#REF!</v>
      </c>
      <c r="I248" s="263">
        <f>I249+I256+I260+I265+I269+I272+I285</f>
        <v>90151.09999999999</v>
      </c>
      <c r="J248" s="263">
        <f>J249+J256+J260+J265+J269+J272+J285</f>
        <v>58652.2</v>
      </c>
      <c r="K248" s="263">
        <f t="shared" si="14"/>
        <v>65.0598827967712</v>
      </c>
      <c r="L248" s="13"/>
    </row>
    <row r="249" spans="1:11" ht="29.25" customHeight="1">
      <c r="A249" s="17" t="s">
        <v>284</v>
      </c>
      <c r="B249" s="106" t="s">
        <v>77</v>
      </c>
      <c r="C249" s="32" t="s">
        <v>11</v>
      </c>
      <c r="D249" s="32" t="s">
        <v>10</v>
      </c>
      <c r="E249" s="32" t="s">
        <v>38</v>
      </c>
      <c r="F249" s="32" t="s">
        <v>7</v>
      </c>
      <c r="G249" s="48">
        <f>G250</f>
        <v>0</v>
      </c>
      <c r="H249" s="48">
        <f>H250</f>
        <v>16672.2</v>
      </c>
      <c r="I249" s="263">
        <f>I250</f>
        <v>11014.9</v>
      </c>
      <c r="J249" s="263">
        <f>J250</f>
        <v>6473.2</v>
      </c>
      <c r="K249" s="263">
        <f t="shared" si="14"/>
        <v>58.76766924801859</v>
      </c>
    </row>
    <row r="250" spans="1:11" ht="32.25" customHeight="1">
      <c r="A250" s="14" t="s">
        <v>20</v>
      </c>
      <c r="B250" s="166" t="s">
        <v>77</v>
      </c>
      <c r="C250" s="101" t="s">
        <v>11</v>
      </c>
      <c r="D250" s="101" t="s">
        <v>10</v>
      </c>
      <c r="E250" s="101" t="s">
        <v>79</v>
      </c>
      <c r="F250" s="101" t="s">
        <v>7</v>
      </c>
      <c r="G250" s="74">
        <f>G255</f>
        <v>0</v>
      </c>
      <c r="H250" s="74">
        <f>H255</f>
        <v>16672.2</v>
      </c>
      <c r="I250" s="264">
        <f>I251+I252+I253+I254+I255</f>
        <v>11014.9</v>
      </c>
      <c r="J250" s="264">
        <f>J251+J252+J253+J254+J255</f>
        <v>6473.2</v>
      </c>
      <c r="K250" s="263">
        <f t="shared" si="14"/>
        <v>58.76766924801859</v>
      </c>
    </row>
    <row r="251" spans="1:11" ht="26.25" customHeight="1">
      <c r="A251" s="212" t="s">
        <v>133</v>
      </c>
      <c r="B251" s="166" t="s">
        <v>77</v>
      </c>
      <c r="C251" s="101" t="s">
        <v>11</v>
      </c>
      <c r="D251" s="101" t="s">
        <v>10</v>
      </c>
      <c r="E251" s="101" t="s">
        <v>79</v>
      </c>
      <c r="F251" s="173" t="s">
        <v>135</v>
      </c>
      <c r="G251" s="74"/>
      <c r="H251" s="74"/>
      <c r="I251" s="270">
        <v>2593.3</v>
      </c>
      <c r="J251" s="318">
        <v>1759.1</v>
      </c>
      <c r="K251" s="263">
        <f t="shared" si="14"/>
        <v>67.8324914201982</v>
      </c>
    </row>
    <row r="252" spans="1:11" ht="28.5" customHeight="1">
      <c r="A252" s="121" t="s">
        <v>142</v>
      </c>
      <c r="B252" s="166" t="s">
        <v>77</v>
      </c>
      <c r="C252" s="101" t="s">
        <v>11</v>
      </c>
      <c r="D252" s="101" t="s">
        <v>10</v>
      </c>
      <c r="E252" s="101" t="s">
        <v>79</v>
      </c>
      <c r="F252" s="173" t="s">
        <v>129</v>
      </c>
      <c r="G252" s="74"/>
      <c r="H252" s="74"/>
      <c r="I252" s="264">
        <v>4164.3</v>
      </c>
      <c r="J252" s="318">
        <v>2616</v>
      </c>
      <c r="K252" s="263">
        <f t="shared" si="14"/>
        <v>62.81968157913694</v>
      </c>
    </row>
    <row r="253" spans="1:11" ht="62.25" customHeight="1">
      <c r="A253" s="121" t="s">
        <v>145</v>
      </c>
      <c r="B253" s="166" t="s">
        <v>77</v>
      </c>
      <c r="C253" s="101" t="s">
        <v>11</v>
      </c>
      <c r="D253" s="101" t="s">
        <v>10</v>
      </c>
      <c r="E253" s="101" t="s">
        <v>79</v>
      </c>
      <c r="F253" s="173" t="s">
        <v>141</v>
      </c>
      <c r="G253" s="74"/>
      <c r="H253" s="74"/>
      <c r="I253" s="264">
        <f>3694.4+100</f>
        <v>3794.4</v>
      </c>
      <c r="J253" s="318">
        <v>1857.5</v>
      </c>
      <c r="K253" s="263">
        <f t="shared" si="14"/>
        <v>48.95372127345562</v>
      </c>
    </row>
    <row r="254" spans="1:11" ht="36" customHeight="1">
      <c r="A254" s="212" t="s">
        <v>131</v>
      </c>
      <c r="B254" s="166" t="s">
        <v>77</v>
      </c>
      <c r="C254" s="101" t="s">
        <v>11</v>
      </c>
      <c r="D254" s="101" t="s">
        <v>10</v>
      </c>
      <c r="E254" s="101" t="s">
        <v>79</v>
      </c>
      <c r="F254" s="173" t="s">
        <v>130</v>
      </c>
      <c r="G254" s="74"/>
      <c r="H254" s="74"/>
      <c r="I254" s="270">
        <v>417.4</v>
      </c>
      <c r="J254" s="318">
        <v>214.4</v>
      </c>
      <c r="K254" s="263">
        <f t="shared" si="14"/>
        <v>51.36559655007188</v>
      </c>
    </row>
    <row r="255" spans="1:11" ht="34.5" customHeight="1">
      <c r="A255" s="212" t="s">
        <v>138</v>
      </c>
      <c r="B255" s="166" t="s">
        <v>77</v>
      </c>
      <c r="C255" s="101" t="s">
        <v>11</v>
      </c>
      <c r="D255" s="101" t="s">
        <v>10</v>
      </c>
      <c r="E255" s="101" t="s">
        <v>79</v>
      </c>
      <c r="F255" s="173" t="s">
        <v>137</v>
      </c>
      <c r="G255" s="74"/>
      <c r="H255" s="74">
        <v>16672.2</v>
      </c>
      <c r="I255" s="264">
        <v>45.5</v>
      </c>
      <c r="J255" s="318">
        <v>26.2</v>
      </c>
      <c r="K255" s="263">
        <f t="shared" si="14"/>
        <v>57.58241758241758</v>
      </c>
    </row>
    <row r="256" spans="1:11" ht="31.5" customHeight="1">
      <c r="A256" s="222" t="s">
        <v>14</v>
      </c>
      <c r="B256" s="108" t="s">
        <v>77</v>
      </c>
      <c r="C256" s="12" t="s">
        <v>11</v>
      </c>
      <c r="D256" s="12" t="s">
        <v>10</v>
      </c>
      <c r="E256" s="12" t="s">
        <v>34</v>
      </c>
      <c r="F256" s="12" t="s">
        <v>7</v>
      </c>
      <c r="G256" s="71" t="e">
        <f>G257</f>
        <v>#REF!</v>
      </c>
      <c r="H256" s="71" t="e">
        <f>H257</f>
        <v>#REF!</v>
      </c>
      <c r="I256" s="263">
        <f>I257</f>
        <v>2193</v>
      </c>
      <c r="J256" s="263">
        <f>J257</f>
        <v>960.1</v>
      </c>
      <c r="K256" s="263">
        <f t="shared" si="14"/>
        <v>43.78020975832194</v>
      </c>
    </row>
    <row r="257" spans="1:11" ht="31.5" customHeight="1">
      <c r="A257" s="157" t="s">
        <v>20</v>
      </c>
      <c r="B257" s="108" t="s">
        <v>77</v>
      </c>
      <c r="C257" s="12" t="s">
        <v>11</v>
      </c>
      <c r="D257" s="12" t="s">
        <v>10</v>
      </c>
      <c r="E257" s="12" t="s">
        <v>68</v>
      </c>
      <c r="F257" s="12" t="s">
        <v>7</v>
      </c>
      <c r="G257" s="78" t="e">
        <f>#REF!</f>
        <v>#REF!</v>
      </c>
      <c r="H257" s="78" t="e">
        <f>#REF!</f>
        <v>#REF!</v>
      </c>
      <c r="I257" s="263">
        <f>I258+I259</f>
        <v>2193</v>
      </c>
      <c r="J257" s="263">
        <f>J258+J259</f>
        <v>960.1</v>
      </c>
      <c r="K257" s="263">
        <f t="shared" si="14"/>
        <v>43.78020975832194</v>
      </c>
    </row>
    <row r="258" spans="1:11" ht="74.25" customHeight="1">
      <c r="A258" s="121" t="s">
        <v>145</v>
      </c>
      <c r="B258" s="108" t="s">
        <v>77</v>
      </c>
      <c r="C258" s="12" t="s">
        <v>11</v>
      </c>
      <c r="D258" s="12" t="s">
        <v>10</v>
      </c>
      <c r="E258" s="12" t="s">
        <v>68</v>
      </c>
      <c r="F258" s="94" t="s">
        <v>141</v>
      </c>
      <c r="G258" s="78"/>
      <c r="H258" s="78"/>
      <c r="I258" s="264">
        <v>2175.8</v>
      </c>
      <c r="J258" s="314">
        <v>952.1</v>
      </c>
      <c r="K258" s="263">
        <f t="shared" si="14"/>
        <v>43.75861751999264</v>
      </c>
    </row>
    <row r="259" spans="1:11" ht="32.25" customHeight="1">
      <c r="A259" s="157" t="s">
        <v>289</v>
      </c>
      <c r="B259" s="177" t="s">
        <v>77</v>
      </c>
      <c r="C259" s="100" t="s">
        <v>11</v>
      </c>
      <c r="D259" s="100" t="s">
        <v>10</v>
      </c>
      <c r="E259" s="100" t="s">
        <v>313</v>
      </c>
      <c r="F259" s="94" t="s">
        <v>290</v>
      </c>
      <c r="G259" s="78"/>
      <c r="H259" s="78"/>
      <c r="I259" s="264">
        <v>17.2</v>
      </c>
      <c r="J259" s="314">
        <v>8</v>
      </c>
      <c r="K259" s="263">
        <f t="shared" si="14"/>
        <v>46.51162790697674</v>
      </c>
    </row>
    <row r="260" spans="1:11" ht="25.5" customHeight="1">
      <c r="A260" s="222" t="s">
        <v>298</v>
      </c>
      <c r="B260" s="177" t="s">
        <v>77</v>
      </c>
      <c r="C260" s="100" t="s">
        <v>11</v>
      </c>
      <c r="D260" s="100" t="s">
        <v>10</v>
      </c>
      <c r="E260" s="100" t="s">
        <v>297</v>
      </c>
      <c r="F260" s="94" t="s">
        <v>7</v>
      </c>
      <c r="G260" s="78"/>
      <c r="H260" s="78"/>
      <c r="I260" s="264">
        <f>I261</f>
        <v>5415.599999999999</v>
      </c>
      <c r="J260" s="264">
        <f>J261</f>
        <v>2191.8</v>
      </c>
      <c r="K260" s="263">
        <f t="shared" si="14"/>
        <v>40.471969864834925</v>
      </c>
    </row>
    <row r="261" spans="1:11" ht="36.75" customHeight="1">
      <c r="A261" s="157" t="s">
        <v>299</v>
      </c>
      <c r="B261" s="177" t="s">
        <v>77</v>
      </c>
      <c r="C261" s="100" t="s">
        <v>11</v>
      </c>
      <c r="D261" s="100" t="s">
        <v>10</v>
      </c>
      <c r="E261" s="100" t="s">
        <v>296</v>
      </c>
      <c r="F261" s="94" t="s">
        <v>7</v>
      </c>
      <c r="G261" s="78"/>
      <c r="H261" s="78"/>
      <c r="I261" s="264">
        <f>I262+I263</f>
        <v>5415.599999999999</v>
      </c>
      <c r="J261" s="264">
        <f>J262+J263</f>
        <v>2191.8</v>
      </c>
      <c r="K261" s="263">
        <f t="shared" si="14"/>
        <v>40.471969864834925</v>
      </c>
    </row>
    <row r="262" spans="1:11" ht="37.5" customHeight="1">
      <c r="A262" s="121" t="s">
        <v>142</v>
      </c>
      <c r="B262" s="177" t="s">
        <v>77</v>
      </c>
      <c r="C262" s="100" t="s">
        <v>11</v>
      </c>
      <c r="D262" s="100" t="s">
        <v>10</v>
      </c>
      <c r="E262" s="100" t="s">
        <v>296</v>
      </c>
      <c r="F262" s="94" t="s">
        <v>129</v>
      </c>
      <c r="G262" s="78"/>
      <c r="H262" s="78"/>
      <c r="I262" s="264">
        <v>4809.4</v>
      </c>
      <c r="J262" s="314">
        <v>1625.1</v>
      </c>
      <c r="K262" s="263">
        <f t="shared" si="14"/>
        <v>33.7900777643781</v>
      </c>
    </row>
    <row r="263" spans="1:11" ht="37.5" customHeight="1">
      <c r="A263" s="157" t="s">
        <v>289</v>
      </c>
      <c r="B263" s="177" t="s">
        <v>77</v>
      </c>
      <c r="C263" s="100" t="s">
        <v>11</v>
      </c>
      <c r="D263" s="100" t="s">
        <v>10</v>
      </c>
      <c r="E263" s="100" t="s">
        <v>296</v>
      </c>
      <c r="F263" s="94" t="s">
        <v>290</v>
      </c>
      <c r="G263" s="78"/>
      <c r="H263" s="78"/>
      <c r="I263" s="264">
        <v>606.2</v>
      </c>
      <c r="J263" s="314">
        <v>566.7</v>
      </c>
      <c r="K263" s="263">
        <f t="shared" si="14"/>
        <v>93.48399868030353</v>
      </c>
    </row>
    <row r="264" spans="1:11" ht="82.5" customHeight="1">
      <c r="A264" s="14" t="s">
        <v>263</v>
      </c>
      <c r="B264" s="185" t="s">
        <v>77</v>
      </c>
      <c r="C264" s="155" t="s">
        <v>11</v>
      </c>
      <c r="D264" s="155" t="s">
        <v>10</v>
      </c>
      <c r="E264" s="155" t="s">
        <v>264</v>
      </c>
      <c r="F264" s="155" t="s">
        <v>44</v>
      </c>
      <c r="G264" s="80"/>
      <c r="H264" s="80"/>
      <c r="I264" s="264">
        <f>I265</f>
        <v>7107.9</v>
      </c>
      <c r="J264" s="264">
        <f>J265</f>
        <v>5398.2</v>
      </c>
      <c r="K264" s="263">
        <f t="shared" si="14"/>
        <v>75.94648208331574</v>
      </c>
    </row>
    <row r="265" spans="1:11" ht="62.25" customHeight="1">
      <c r="A265" s="121" t="s">
        <v>150</v>
      </c>
      <c r="B265" s="185" t="s">
        <v>77</v>
      </c>
      <c r="C265" s="155" t="s">
        <v>11</v>
      </c>
      <c r="D265" s="155" t="s">
        <v>10</v>
      </c>
      <c r="E265" s="155" t="s">
        <v>1</v>
      </c>
      <c r="F265" s="155" t="s">
        <v>7</v>
      </c>
      <c r="G265" s="80"/>
      <c r="H265" s="80"/>
      <c r="I265" s="264">
        <f>I266+I267+I268</f>
        <v>7107.9</v>
      </c>
      <c r="J265" s="264">
        <f>J266+J267+J268</f>
        <v>5398.2</v>
      </c>
      <c r="K265" s="263">
        <f t="shared" si="14"/>
        <v>75.94648208331574</v>
      </c>
    </row>
    <row r="266" spans="1:11" ht="27" customHeight="1">
      <c r="A266" s="212" t="s">
        <v>133</v>
      </c>
      <c r="B266" s="185" t="s">
        <v>77</v>
      </c>
      <c r="C266" s="155" t="s">
        <v>11</v>
      </c>
      <c r="D266" s="155" t="s">
        <v>10</v>
      </c>
      <c r="E266" s="155" t="s">
        <v>1</v>
      </c>
      <c r="F266" s="155" t="s">
        <v>135</v>
      </c>
      <c r="G266" s="80"/>
      <c r="H266" s="80"/>
      <c r="I266" s="264">
        <v>1488.5</v>
      </c>
      <c r="J266" s="330">
        <v>965</v>
      </c>
      <c r="K266" s="263">
        <f t="shared" si="14"/>
        <v>64.83036614040981</v>
      </c>
    </row>
    <row r="267" spans="1:11" ht="33" customHeight="1">
      <c r="A267" s="121" t="s">
        <v>142</v>
      </c>
      <c r="B267" s="185" t="s">
        <v>77</v>
      </c>
      <c r="C267" s="155" t="s">
        <v>11</v>
      </c>
      <c r="D267" s="155" t="s">
        <v>10</v>
      </c>
      <c r="E267" s="155" t="s">
        <v>1</v>
      </c>
      <c r="F267" s="155" t="s">
        <v>129</v>
      </c>
      <c r="G267" s="80"/>
      <c r="H267" s="80"/>
      <c r="I267" s="264">
        <v>2409.9</v>
      </c>
      <c r="J267" s="330">
        <v>1644.7</v>
      </c>
      <c r="K267" s="263">
        <f t="shared" si="14"/>
        <v>68.24764513050334</v>
      </c>
    </row>
    <row r="268" spans="1:11" ht="61.5" customHeight="1">
      <c r="A268" s="121" t="s">
        <v>145</v>
      </c>
      <c r="B268" s="185" t="s">
        <v>77</v>
      </c>
      <c r="C268" s="155" t="s">
        <v>11</v>
      </c>
      <c r="D268" s="155" t="s">
        <v>10</v>
      </c>
      <c r="E268" s="155" t="s">
        <v>1</v>
      </c>
      <c r="F268" s="155" t="s">
        <v>141</v>
      </c>
      <c r="G268" s="80"/>
      <c r="H268" s="80"/>
      <c r="I268" s="264">
        <v>3209.5</v>
      </c>
      <c r="J268" s="330">
        <v>2788.5</v>
      </c>
      <c r="K268" s="263">
        <f t="shared" si="14"/>
        <v>86.88269200810095</v>
      </c>
    </row>
    <row r="269" spans="1:11" ht="32.25" customHeight="1">
      <c r="A269" s="6" t="s">
        <v>53</v>
      </c>
      <c r="B269" s="114" t="s">
        <v>77</v>
      </c>
      <c r="C269" s="95" t="s">
        <v>11</v>
      </c>
      <c r="D269" s="95" t="s">
        <v>10</v>
      </c>
      <c r="E269" s="95" t="s">
        <v>52</v>
      </c>
      <c r="F269" s="95" t="s">
        <v>7</v>
      </c>
      <c r="G269" s="72">
        <f>G270</f>
        <v>364.3</v>
      </c>
      <c r="H269" s="72"/>
      <c r="I269" s="263">
        <f>I270</f>
        <v>1055.7</v>
      </c>
      <c r="J269" s="263">
        <f>J270</f>
        <v>747.6</v>
      </c>
      <c r="K269" s="263">
        <f t="shared" si="14"/>
        <v>70.81557260585394</v>
      </c>
    </row>
    <row r="270" spans="1:11" ht="34.5" customHeight="1">
      <c r="A270" s="5" t="s">
        <v>213</v>
      </c>
      <c r="B270" s="174" t="s">
        <v>77</v>
      </c>
      <c r="C270" s="156" t="s">
        <v>11</v>
      </c>
      <c r="D270" s="156" t="s">
        <v>10</v>
      </c>
      <c r="E270" s="156" t="s">
        <v>81</v>
      </c>
      <c r="F270" s="156" t="s">
        <v>7</v>
      </c>
      <c r="G270" s="79">
        <f>G271</f>
        <v>364.3</v>
      </c>
      <c r="H270" s="79"/>
      <c r="I270" s="264">
        <f>I271</f>
        <v>1055.7</v>
      </c>
      <c r="J270" s="264">
        <f>J271</f>
        <v>747.6</v>
      </c>
      <c r="K270" s="263">
        <f t="shared" si="14"/>
        <v>70.81557260585394</v>
      </c>
    </row>
    <row r="271" spans="1:11" ht="30" customHeight="1">
      <c r="A271" s="212" t="s">
        <v>133</v>
      </c>
      <c r="B271" s="174" t="s">
        <v>77</v>
      </c>
      <c r="C271" s="156" t="s">
        <v>11</v>
      </c>
      <c r="D271" s="156" t="s">
        <v>10</v>
      </c>
      <c r="E271" s="156" t="s">
        <v>81</v>
      </c>
      <c r="F271" s="156" t="s">
        <v>135</v>
      </c>
      <c r="G271" s="79">
        <v>364.3</v>
      </c>
      <c r="H271" s="79"/>
      <c r="I271" s="264">
        <f>275.1+528+252.6</f>
        <v>1055.7</v>
      </c>
      <c r="J271" s="264">
        <v>747.6</v>
      </c>
      <c r="K271" s="263">
        <f t="shared" si="14"/>
        <v>70.81557260585394</v>
      </c>
    </row>
    <row r="272" spans="1:11" ht="118.5" customHeight="1">
      <c r="A272" s="212" t="s">
        <v>158</v>
      </c>
      <c r="B272" s="154" t="s">
        <v>77</v>
      </c>
      <c r="C272" s="155" t="s">
        <v>11</v>
      </c>
      <c r="D272" s="155" t="s">
        <v>10</v>
      </c>
      <c r="E272" s="155" t="s">
        <v>159</v>
      </c>
      <c r="F272" s="156" t="s">
        <v>7</v>
      </c>
      <c r="G272" s="80"/>
      <c r="H272" s="80"/>
      <c r="I272" s="264">
        <f>I273+I279+I282</f>
        <v>63298.99999999999</v>
      </c>
      <c r="J272" s="264">
        <f>J273+J279+J282</f>
        <v>42872.299999999996</v>
      </c>
      <c r="K272" s="263">
        <f aca="true" t="shared" si="16" ref="K272:K335">J272/I272*100</f>
        <v>67.72982195611306</v>
      </c>
    </row>
    <row r="273" spans="1:11" ht="42.75" customHeight="1">
      <c r="A273" s="6" t="s">
        <v>185</v>
      </c>
      <c r="B273" s="154" t="s">
        <v>77</v>
      </c>
      <c r="C273" s="155" t="s">
        <v>11</v>
      </c>
      <c r="D273" s="155" t="s">
        <v>10</v>
      </c>
      <c r="E273" s="155" t="s">
        <v>186</v>
      </c>
      <c r="F273" s="156" t="s">
        <v>7</v>
      </c>
      <c r="G273" s="80"/>
      <c r="H273" s="80"/>
      <c r="I273" s="264">
        <f>I274</f>
        <v>62693.7</v>
      </c>
      <c r="J273" s="264">
        <f>J274</f>
        <v>42506.9</v>
      </c>
      <c r="K273" s="263">
        <f t="shared" si="16"/>
        <v>67.80091141534157</v>
      </c>
    </row>
    <row r="274" spans="1:11" ht="58.5" customHeight="1">
      <c r="A274" s="157" t="s">
        <v>187</v>
      </c>
      <c r="B274" s="154" t="s">
        <v>77</v>
      </c>
      <c r="C274" s="155" t="s">
        <v>11</v>
      </c>
      <c r="D274" s="155" t="s">
        <v>10</v>
      </c>
      <c r="E274" s="155" t="s">
        <v>186</v>
      </c>
      <c r="F274" s="156" t="s">
        <v>7</v>
      </c>
      <c r="G274" s="80"/>
      <c r="H274" s="80"/>
      <c r="I274" s="264">
        <f>I275+I276+I277+I278</f>
        <v>62693.7</v>
      </c>
      <c r="J274" s="264">
        <f>J275+J276+J277+J278</f>
        <v>42506.9</v>
      </c>
      <c r="K274" s="263">
        <f t="shared" si="16"/>
        <v>67.80091141534157</v>
      </c>
    </row>
    <row r="275" spans="1:11" ht="27.75" customHeight="1">
      <c r="A275" s="212" t="s">
        <v>133</v>
      </c>
      <c r="B275" s="154" t="s">
        <v>77</v>
      </c>
      <c r="C275" s="155" t="s">
        <v>11</v>
      </c>
      <c r="D275" s="155" t="s">
        <v>10</v>
      </c>
      <c r="E275" s="155" t="s">
        <v>186</v>
      </c>
      <c r="F275" s="156" t="s">
        <v>135</v>
      </c>
      <c r="G275" s="80"/>
      <c r="H275" s="80"/>
      <c r="I275" s="338">
        <v>40605.2</v>
      </c>
      <c r="J275" s="339">
        <v>27746.6</v>
      </c>
      <c r="K275" s="263">
        <f t="shared" si="16"/>
        <v>68.33262734822141</v>
      </c>
    </row>
    <row r="276" spans="1:11" ht="33" customHeight="1">
      <c r="A276" s="121" t="s">
        <v>132</v>
      </c>
      <c r="B276" s="154" t="s">
        <v>77</v>
      </c>
      <c r="C276" s="155" t="s">
        <v>11</v>
      </c>
      <c r="D276" s="155" t="s">
        <v>10</v>
      </c>
      <c r="E276" s="155" t="s">
        <v>186</v>
      </c>
      <c r="F276" s="156" t="s">
        <v>136</v>
      </c>
      <c r="G276" s="80"/>
      <c r="H276" s="80"/>
      <c r="I276" s="340">
        <v>114</v>
      </c>
      <c r="J276" s="339">
        <v>107.4</v>
      </c>
      <c r="K276" s="263">
        <f t="shared" si="16"/>
        <v>94.21052631578948</v>
      </c>
    </row>
    <row r="277" spans="1:11" ht="33" customHeight="1">
      <c r="A277" s="121" t="s">
        <v>142</v>
      </c>
      <c r="B277" s="154" t="s">
        <v>77</v>
      </c>
      <c r="C277" s="155" t="s">
        <v>11</v>
      </c>
      <c r="D277" s="155" t="s">
        <v>10</v>
      </c>
      <c r="E277" s="155" t="s">
        <v>186</v>
      </c>
      <c r="F277" s="156" t="s">
        <v>129</v>
      </c>
      <c r="G277" s="80"/>
      <c r="H277" s="80"/>
      <c r="I277" s="340">
        <v>200.3</v>
      </c>
      <c r="J277" s="339">
        <v>109.8</v>
      </c>
      <c r="K277" s="263">
        <f t="shared" si="16"/>
        <v>54.817773339990005</v>
      </c>
    </row>
    <row r="278" spans="1:11" ht="63.75" customHeight="1">
      <c r="A278" s="121" t="s">
        <v>145</v>
      </c>
      <c r="B278" s="154" t="s">
        <v>77</v>
      </c>
      <c r="C278" s="155" t="s">
        <v>11</v>
      </c>
      <c r="D278" s="155" t="s">
        <v>10</v>
      </c>
      <c r="E278" s="155" t="s">
        <v>186</v>
      </c>
      <c r="F278" s="92" t="s">
        <v>141</v>
      </c>
      <c r="G278" s="80"/>
      <c r="H278" s="80"/>
      <c r="I278" s="338">
        <v>21774.2</v>
      </c>
      <c r="J278" s="339">
        <v>14543.1</v>
      </c>
      <c r="K278" s="263">
        <f t="shared" si="16"/>
        <v>66.79051354355154</v>
      </c>
    </row>
    <row r="279" spans="1:11" ht="79.5" customHeight="1">
      <c r="A279" s="121" t="s">
        <v>188</v>
      </c>
      <c r="B279" s="50" t="s">
        <v>77</v>
      </c>
      <c r="C279" s="155" t="s">
        <v>11</v>
      </c>
      <c r="D279" s="155" t="s">
        <v>10</v>
      </c>
      <c r="E279" s="155" t="s">
        <v>189</v>
      </c>
      <c r="F279" s="155" t="s">
        <v>7</v>
      </c>
      <c r="G279" s="80"/>
      <c r="H279" s="80"/>
      <c r="I279" s="264">
        <f>I280+I281</f>
        <v>349.2</v>
      </c>
      <c r="J279" s="264">
        <f>J280+J281</f>
        <v>209.20000000000002</v>
      </c>
      <c r="K279" s="263">
        <f t="shared" si="16"/>
        <v>59.90836197021765</v>
      </c>
    </row>
    <row r="280" spans="1:11" ht="19.5" customHeight="1">
      <c r="A280" s="121" t="s">
        <v>190</v>
      </c>
      <c r="B280" s="50" t="s">
        <v>77</v>
      </c>
      <c r="C280" s="155" t="s">
        <v>11</v>
      </c>
      <c r="D280" s="155" t="s">
        <v>10</v>
      </c>
      <c r="E280" s="155" t="s">
        <v>189</v>
      </c>
      <c r="F280" s="155" t="s">
        <v>191</v>
      </c>
      <c r="G280" s="80"/>
      <c r="H280" s="80"/>
      <c r="I280" s="264">
        <v>107.8</v>
      </c>
      <c r="J280" s="330">
        <v>64.4</v>
      </c>
      <c r="K280" s="263">
        <f t="shared" si="16"/>
        <v>59.74025974025975</v>
      </c>
    </row>
    <row r="281" spans="1:11" ht="38.25" customHeight="1">
      <c r="A281" s="157" t="s">
        <v>289</v>
      </c>
      <c r="B281" s="50" t="s">
        <v>77</v>
      </c>
      <c r="C281" s="155" t="s">
        <v>11</v>
      </c>
      <c r="D281" s="155" t="s">
        <v>10</v>
      </c>
      <c r="E281" s="155" t="s">
        <v>189</v>
      </c>
      <c r="F281" s="155" t="s">
        <v>290</v>
      </c>
      <c r="G281" s="80"/>
      <c r="H281" s="80"/>
      <c r="I281" s="264">
        <f>241.2+0.2</f>
        <v>241.39999999999998</v>
      </c>
      <c r="J281" s="330">
        <v>144.8</v>
      </c>
      <c r="K281" s="263">
        <f t="shared" si="16"/>
        <v>59.983429991715006</v>
      </c>
    </row>
    <row r="282" spans="1:11" ht="76.5" customHeight="1">
      <c r="A282" s="121" t="s">
        <v>214</v>
      </c>
      <c r="B282" s="153" t="s">
        <v>77</v>
      </c>
      <c r="C282" s="98" t="s">
        <v>11</v>
      </c>
      <c r="D282" s="98" t="s">
        <v>10</v>
      </c>
      <c r="E282" s="98" t="s">
        <v>215</v>
      </c>
      <c r="F282" s="120" t="s">
        <v>7</v>
      </c>
      <c r="G282" s="175"/>
      <c r="H282" s="175"/>
      <c r="I282" s="264">
        <f>I283+I284</f>
        <v>256.09999999999997</v>
      </c>
      <c r="J282" s="264">
        <f>J283+J284</f>
        <v>156.2</v>
      </c>
      <c r="K282" s="263">
        <f t="shared" si="16"/>
        <v>60.99180007809449</v>
      </c>
    </row>
    <row r="283" spans="1:11" ht="27" customHeight="1">
      <c r="A283" s="121" t="s">
        <v>181</v>
      </c>
      <c r="B283" s="153" t="s">
        <v>77</v>
      </c>
      <c r="C283" s="98" t="s">
        <v>11</v>
      </c>
      <c r="D283" s="98" t="s">
        <v>10</v>
      </c>
      <c r="E283" s="98" t="s">
        <v>215</v>
      </c>
      <c r="F283" s="120" t="s">
        <v>182</v>
      </c>
      <c r="G283" s="175"/>
      <c r="H283" s="175"/>
      <c r="I283" s="264">
        <v>194.2</v>
      </c>
      <c r="J283" s="330">
        <v>119.6</v>
      </c>
      <c r="K283" s="263">
        <f t="shared" si="16"/>
        <v>61.585993820803296</v>
      </c>
    </row>
    <row r="284" spans="1:11" ht="36" customHeight="1">
      <c r="A284" s="157" t="s">
        <v>289</v>
      </c>
      <c r="B284" s="153" t="s">
        <v>77</v>
      </c>
      <c r="C284" s="98" t="s">
        <v>11</v>
      </c>
      <c r="D284" s="98" t="s">
        <v>10</v>
      </c>
      <c r="E284" s="98" t="s">
        <v>215</v>
      </c>
      <c r="F284" s="120" t="s">
        <v>290</v>
      </c>
      <c r="G284" s="175"/>
      <c r="H284" s="175"/>
      <c r="I284" s="264">
        <v>61.9</v>
      </c>
      <c r="J284" s="330">
        <v>36.6</v>
      </c>
      <c r="K284" s="263">
        <f t="shared" si="16"/>
        <v>59.12762520193861</v>
      </c>
    </row>
    <row r="285" spans="1:11" ht="35.25" customHeight="1">
      <c r="A285" s="121" t="s">
        <v>219</v>
      </c>
      <c r="B285" s="153" t="s">
        <v>77</v>
      </c>
      <c r="C285" s="98" t="s">
        <v>11</v>
      </c>
      <c r="D285" s="98" t="s">
        <v>10</v>
      </c>
      <c r="E285" s="98" t="s">
        <v>220</v>
      </c>
      <c r="F285" s="120" t="s">
        <v>7</v>
      </c>
      <c r="G285" s="175"/>
      <c r="H285" s="175"/>
      <c r="I285" s="270">
        <f>I286+I289+I291</f>
        <v>65</v>
      </c>
      <c r="J285" s="270">
        <f>J286+J289+J291</f>
        <v>9</v>
      </c>
      <c r="K285" s="263">
        <f t="shared" si="16"/>
        <v>13.846153846153847</v>
      </c>
    </row>
    <row r="286" spans="1:11" ht="80.25" customHeight="1">
      <c r="A286" s="204" t="s">
        <v>217</v>
      </c>
      <c r="B286" s="153" t="s">
        <v>77</v>
      </c>
      <c r="C286" s="98" t="s">
        <v>11</v>
      </c>
      <c r="D286" s="98" t="s">
        <v>10</v>
      </c>
      <c r="E286" s="98" t="s">
        <v>220</v>
      </c>
      <c r="F286" s="120" t="s">
        <v>7</v>
      </c>
      <c r="G286" s="175"/>
      <c r="H286" s="175"/>
      <c r="I286" s="270">
        <f>I287+I288</f>
        <v>15</v>
      </c>
      <c r="J286" s="270">
        <f>J287+J288</f>
        <v>9</v>
      </c>
      <c r="K286" s="263">
        <f t="shared" si="16"/>
        <v>60</v>
      </c>
    </row>
    <row r="287" spans="1:11" ht="39.75" customHeight="1">
      <c r="A287" s="121" t="s">
        <v>142</v>
      </c>
      <c r="B287" s="153" t="s">
        <v>77</v>
      </c>
      <c r="C287" s="98" t="s">
        <v>11</v>
      </c>
      <c r="D287" s="98" t="s">
        <v>10</v>
      </c>
      <c r="E287" s="98" t="s">
        <v>220</v>
      </c>
      <c r="F287" s="120" t="s">
        <v>129</v>
      </c>
      <c r="G287" s="175"/>
      <c r="H287" s="175"/>
      <c r="I287" s="270">
        <v>10</v>
      </c>
      <c r="J287" s="270">
        <v>9</v>
      </c>
      <c r="K287" s="263">
        <f t="shared" si="16"/>
        <v>90</v>
      </c>
    </row>
    <row r="288" spans="1:11" ht="36.75" customHeight="1">
      <c r="A288" s="157" t="s">
        <v>289</v>
      </c>
      <c r="B288" s="153" t="s">
        <v>77</v>
      </c>
      <c r="C288" s="98" t="s">
        <v>11</v>
      </c>
      <c r="D288" s="98" t="s">
        <v>10</v>
      </c>
      <c r="E288" s="98" t="s">
        <v>220</v>
      </c>
      <c r="F288" s="120" t="s">
        <v>290</v>
      </c>
      <c r="G288" s="175"/>
      <c r="H288" s="175"/>
      <c r="I288" s="270">
        <v>5</v>
      </c>
      <c r="J288" s="330">
        <v>0</v>
      </c>
      <c r="K288" s="263">
        <f t="shared" si="16"/>
        <v>0</v>
      </c>
    </row>
    <row r="289" spans="1:11" ht="88.5" customHeight="1">
      <c r="A289" s="204" t="s">
        <v>218</v>
      </c>
      <c r="B289" s="153" t="s">
        <v>77</v>
      </c>
      <c r="C289" s="98" t="s">
        <v>11</v>
      </c>
      <c r="D289" s="98" t="s">
        <v>10</v>
      </c>
      <c r="E289" s="98" t="s">
        <v>220</v>
      </c>
      <c r="F289" s="120" t="s">
        <v>7</v>
      </c>
      <c r="G289" s="175"/>
      <c r="H289" s="175"/>
      <c r="I289" s="270">
        <f>I290</f>
        <v>30</v>
      </c>
      <c r="J289" s="270">
        <f>J290</f>
        <v>0</v>
      </c>
      <c r="K289" s="263">
        <f t="shared" si="16"/>
        <v>0</v>
      </c>
    </row>
    <row r="290" spans="1:11" ht="37.5" customHeight="1">
      <c r="A290" s="157" t="s">
        <v>289</v>
      </c>
      <c r="B290" s="153" t="s">
        <v>77</v>
      </c>
      <c r="C290" s="98" t="s">
        <v>11</v>
      </c>
      <c r="D290" s="98" t="s">
        <v>10</v>
      </c>
      <c r="E290" s="98" t="s">
        <v>220</v>
      </c>
      <c r="F290" s="120" t="s">
        <v>290</v>
      </c>
      <c r="G290" s="175"/>
      <c r="H290" s="175"/>
      <c r="I290" s="270">
        <v>30</v>
      </c>
      <c r="J290" s="175"/>
      <c r="K290" s="263">
        <f t="shared" si="16"/>
        <v>0</v>
      </c>
    </row>
    <row r="291" spans="1:11" ht="48.75" customHeight="1">
      <c r="A291" s="121" t="s">
        <v>221</v>
      </c>
      <c r="B291" s="153" t="s">
        <v>77</v>
      </c>
      <c r="C291" s="98" t="s">
        <v>11</v>
      </c>
      <c r="D291" s="98" t="s">
        <v>10</v>
      </c>
      <c r="E291" s="98" t="s">
        <v>220</v>
      </c>
      <c r="F291" s="120" t="s">
        <v>7</v>
      </c>
      <c r="G291" s="175"/>
      <c r="H291" s="175"/>
      <c r="I291" s="270">
        <f>I292</f>
        <v>20</v>
      </c>
      <c r="J291" s="270">
        <f>J292</f>
        <v>0</v>
      </c>
      <c r="K291" s="263">
        <f t="shared" si="16"/>
        <v>0</v>
      </c>
    </row>
    <row r="292" spans="1:11" ht="36.75" customHeight="1">
      <c r="A292" s="157" t="s">
        <v>289</v>
      </c>
      <c r="B292" s="153" t="s">
        <v>77</v>
      </c>
      <c r="C292" s="98" t="s">
        <v>11</v>
      </c>
      <c r="D292" s="98" t="s">
        <v>10</v>
      </c>
      <c r="E292" s="98" t="s">
        <v>220</v>
      </c>
      <c r="F292" s="120" t="s">
        <v>290</v>
      </c>
      <c r="G292" s="175"/>
      <c r="H292" s="175"/>
      <c r="I292" s="270">
        <v>20</v>
      </c>
      <c r="J292" s="175"/>
      <c r="K292" s="263">
        <f t="shared" si="16"/>
        <v>0</v>
      </c>
    </row>
    <row r="293" spans="1:11" ht="37.5" customHeight="1">
      <c r="A293" s="222" t="s">
        <v>27</v>
      </c>
      <c r="B293" s="111" t="s">
        <v>77</v>
      </c>
      <c r="C293" s="95" t="s">
        <v>11</v>
      </c>
      <c r="D293" s="15" t="s">
        <v>11</v>
      </c>
      <c r="E293" s="15" t="s">
        <v>55</v>
      </c>
      <c r="F293" s="15" t="s">
        <v>7</v>
      </c>
      <c r="G293" s="73">
        <f>G294+G297+G300</f>
        <v>1181.8</v>
      </c>
      <c r="H293" s="73"/>
      <c r="I293" s="263">
        <f>I294</f>
        <v>1213.8</v>
      </c>
      <c r="J293" s="263">
        <f>J294</f>
        <v>1184.3</v>
      </c>
      <c r="K293" s="263">
        <f t="shared" si="16"/>
        <v>97.5696160817268</v>
      </c>
    </row>
    <row r="294" spans="1:11" ht="35.25" customHeight="1">
      <c r="A294" s="219" t="s">
        <v>210</v>
      </c>
      <c r="B294" s="113" t="s">
        <v>77</v>
      </c>
      <c r="C294" s="65" t="s">
        <v>11</v>
      </c>
      <c r="D294" s="65" t="s">
        <v>11</v>
      </c>
      <c r="E294" s="65" t="s">
        <v>234</v>
      </c>
      <c r="F294" s="65" t="s">
        <v>7</v>
      </c>
      <c r="G294" s="168">
        <f>G297+G299+G300</f>
        <v>1016.3</v>
      </c>
      <c r="H294" s="168"/>
      <c r="I294" s="263">
        <f>I299+I297+I295</f>
        <v>1213.8</v>
      </c>
      <c r="J294" s="263">
        <f>J299+J297+J295</f>
        <v>1184.3</v>
      </c>
      <c r="K294" s="263">
        <f t="shared" si="16"/>
        <v>97.5696160817268</v>
      </c>
    </row>
    <row r="295" spans="1:11" ht="35.25" customHeight="1">
      <c r="A295" s="308" t="s">
        <v>300</v>
      </c>
      <c r="B295" s="112" t="s">
        <v>77</v>
      </c>
      <c r="C295" s="63" t="s">
        <v>11</v>
      </c>
      <c r="D295" s="63" t="s">
        <v>11</v>
      </c>
      <c r="E295" s="63" t="s">
        <v>301</v>
      </c>
      <c r="F295" s="63" t="s">
        <v>7</v>
      </c>
      <c r="G295" s="168"/>
      <c r="H295" s="168"/>
      <c r="I295" s="270">
        <f>I296</f>
        <v>44.1</v>
      </c>
      <c r="J295" s="270">
        <f>J296</f>
        <v>29.5</v>
      </c>
      <c r="K295" s="263">
        <f t="shared" si="16"/>
        <v>66.89342403628117</v>
      </c>
    </row>
    <row r="296" spans="1:11" ht="35.25" customHeight="1">
      <c r="A296" s="307" t="s">
        <v>142</v>
      </c>
      <c r="B296" s="112" t="s">
        <v>77</v>
      </c>
      <c r="C296" s="63" t="s">
        <v>11</v>
      </c>
      <c r="D296" s="63" t="s">
        <v>11</v>
      </c>
      <c r="E296" s="63" t="s">
        <v>301</v>
      </c>
      <c r="F296" s="63" t="s">
        <v>129</v>
      </c>
      <c r="G296" s="168"/>
      <c r="H296" s="168"/>
      <c r="I296" s="270">
        <v>44.1</v>
      </c>
      <c r="J296" s="270">
        <v>29.5</v>
      </c>
      <c r="K296" s="263">
        <f t="shared" si="16"/>
        <v>66.89342403628117</v>
      </c>
    </row>
    <row r="297" spans="1:11" ht="156" customHeight="1">
      <c r="A297" s="202" t="s">
        <v>211</v>
      </c>
      <c r="B297" s="50" t="s">
        <v>77</v>
      </c>
      <c r="C297" s="49" t="s">
        <v>11</v>
      </c>
      <c r="D297" s="49" t="s">
        <v>11</v>
      </c>
      <c r="E297" s="169" t="s">
        <v>233</v>
      </c>
      <c r="F297" s="55" t="s">
        <v>7</v>
      </c>
      <c r="G297" s="170">
        <v>165.5</v>
      </c>
      <c r="H297" s="170"/>
      <c r="I297" s="264">
        <f>I298</f>
        <v>204</v>
      </c>
      <c r="J297" s="264">
        <f>J298</f>
        <v>204</v>
      </c>
      <c r="K297" s="263">
        <f t="shared" si="16"/>
        <v>100</v>
      </c>
    </row>
    <row r="298" spans="1:11" ht="60.75" customHeight="1">
      <c r="A298" s="121" t="s">
        <v>279</v>
      </c>
      <c r="B298" s="50" t="s">
        <v>77</v>
      </c>
      <c r="C298" s="49" t="s">
        <v>11</v>
      </c>
      <c r="D298" s="49" t="s">
        <v>11</v>
      </c>
      <c r="E298" s="169" t="s">
        <v>233</v>
      </c>
      <c r="F298" s="55" t="s">
        <v>225</v>
      </c>
      <c r="G298" s="170"/>
      <c r="H298" s="170"/>
      <c r="I298" s="264">
        <v>204</v>
      </c>
      <c r="J298" s="264">
        <v>204</v>
      </c>
      <c r="K298" s="263">
        <f t="shared" si="16"/>
        <v>100</v>
      </c>
    </row>
    <row r="299" spans="1:11" ht="105.75" customHeight="1">
      <c r="A299" s="202" t="s">
        <v>212</v>
      </c>
      <c r="B299" s="50" t="s">
        <v>77</v>
      </c>
      <c r="C299" s="49" t="s">
        <v>11</v>
      </c>
      <c r="D299" s="49" t="s">
        <v>11</v>
      </c>
      <c r="E299" s="55" t="s">
        <v>228</v>
      </c>
      <c r="F299" s="55" t="s">
        <v>7</v>
      </c>
      <c r="G299" s="171">
        <v>850.8</v>
      </c>
      <c r="H299" s="171"/>
      <c r="I299" s="264">
        <f>I300+I301</f>
        <v>965.7</v>
      </c>
      <c r="J299" s="264">
        <f>J300+J301</f>
        <v>950.8</v>
      </c>
      <c r="K299" s="263">
        <f t="shared" si="16"/>
        <v>98.45707776742259</v>
      </c>
    </row>
    <row r="300" spans="1:11" ht="33" customHeight="1">
      <c r="A300" s="121" t="s">
        <v>142</v>
      </c>
      <c r="B300" s="50" t="s">
        <v>77</v>
      </c>
      <c r="C300" s="49" t="s">
        <v>11</v>
      </c>
      <c r="D300" s="49" t="s">
        <v>11</v>
      </c>
      <c r="E300" s="55" t="s">
        <v>228</v>
      </c>
      <c r="F300" s="55" t="s">
        <v>129</v>
      </c>
      <c r="G300" s="171"/>
      <c r="H300" s="171"/>
      <c r="I300" s="264">
        <f>601.7+14.6</f>
        <v>616.3000000000001</v>
      </c>
      <c r="J300" s="330">
        <v>601.5</v>
      </c>
      <c r="K300" s="263">
        <f t="shared" si="16"/>
        <v>97.59857212396558</v>
      </c>
    </row>
    <row r="301" spans="1:11" ht="36.75" customHeight="1">
      <c r="A301" s="157" t="s">
        <v>289</v>
      </c>
      <c r="B301" s="50" t="s">
        <v>77</v>
      </c>
      <c r="C301" s="49" t="s">
        <v>11</v>
      </c>
      <c r="D301" s="49" t="s">
        <v>11</v>
      </c>
      <c r="E301" s="55" t="s">
        <v>228</v>
      </c>
      <c r="F301" s="55" t="s">
        <v>290</v>
      </c>
      <c r="G301" s="171"/>
      <c r="H301" s="171"/>
      <c r="I301" s="264">
        <f>364-14.6</f>
        <v>349.4</v>
      </c>
      <c r="J301" s="330">
        <v>349.3</v>
      </c>
      <c r="K301" s="263">
        <f t="shared" si="16"/>
        <v>99.97137950772755</v>
      </c>
    </row>
    <row r="302" spans="1:13" ht="33" customHeight="1">
      <c r="A302" s="3" t="s">
        <v>39</v>
      </c>
      <c r="B302" s="111" t="s">
        <v>77</v>
      </c>
      <c r="C302" s="64" t="s">
        <v>11</v>
      </c>
      <c r="D302" s="64" t="s">
        <v>22</v>
      </c>
      <c r="E302" s="64" t="s">
        <v>29</v>
      </c>
      <c r="F302" s="64" t="s">
        <v>7</v>
      </c>
      <c r="G302" s="81" t="e">
        <f>G303+G316+#REF!+#REF!+#REF!+#REF!+#REF!+#REF!+#REF!+#REF!+#REF!+#REF!+#REF!+#REF!</f>
        <v>#REF!</v>
      </c>
      <c r="H302" s="81" t="e">
        <f>H303+H317</f>
        <v>#REF!</v>
      </c>
      <c r="I302" s="263">
        <f>I303+I316+I309+I314+I326+I324+I329</f>
        <v>2008.9</v>
      </c>
      <c r="J302" s="263">
        <f>J303+J316+J309+J314+J326+J324+J329</f>
        <v>1394.1</v>
      </c>
      <c r="K302" s="263">
        <f t="shared" si="16"/>
        <v>69.39618696799242</v>
      </c>
      <c r="L302" s="10"/>
      <c r="M302" s="10"/>
    </row>
    <row r="303" spans="1:13" ht="81" customHeight="1">
      <c r="A303" s="220" t="s">
        <v>59</v>
      </c>
      <c r="B303" s="108" t="s">
        <v>77</v>
      </c>
      <c r="C303" s="12" t="s">
        <v>11</v>
      </c>
      <c r="D303" s="12" t="s">
        <v>22</v>
      </c>
      <c r="E303" s="12" t="s">
        <v>65</v>
      </c>
      <c r="F303" s="12" t="s">
        <v>7</v>
      </c>
      <c r="G303" s="78" t="e">
        <f>G304</f>
        <v>#REF!</v>
      </c>
      <c r="H303" s="78" t="e">
        <f>H304</f>
        <v>#REF!</v>
      </c>
      <c r="I303" s="263">
        <f>I304</f>
        <v>725.7</v>
      </c>
      <c r="J303" s="263">
        <f>J304</f>
        <v>530.8</v>
      </c>
      <c r="K303" s="263">
        <f t="shared" si="16"/>
        <v>73.14317210968719</v>
      </c>
      <c r="L303" s="9"/>
      <c r="M303" s="9"/>
    </row>
    <row r="304" spans="1:13" ht="22.5" customHeight="1">
      <c r="A304" s="233" t="s">
        <v>18</v>
      </c>
      <c r="B304" s="108" t="s">
        <v>77</v>
      </c>
      <c r="C304" s="12" t="s">
        <v>11</v>
      </c>
      <c r="D304" s="12" t="s">
        <v>22</v>
      </c>
      <c r="E304" s="12" t="s">
        <v>66</v>
      </c>
      <c r="F304" s="12" t="s">
        <v>7</v>
      </c>
      <c r="G304" s="78" t="e">
        <f>#REF!</f>
        <v>#REF!</v>
      </c>
      <c r="H304" s="78" t="e">
        <f>#REF!</f>
        <v>#REF!</v>
      </c>
      <c r="I304" s="264">
        <f>I305+I306+I307+I308</f>
        <v>725.7</v>
      </c>
      <c r="J304" s="264">
        <f>J305+J306+J307+J308</f>
        <v>530.8</v>
      </c>
      <c r="K304" s="263">
        <f t="shared" si="16"/>
        <v>73.14317210968719</v>
      </c>
      <c r="L304" s="9"/>
      <c r="M304" s="9"/>
    </row>
    <row r="305" spans="1:13" ht="21.75" customHeight="1">
      <c r="A305" s="212" t="s">
        <v>133</v>
      </c>
      <c r="B305" s="108" t="s">
        <v>77</v>
      </c>
      <c r="C305" s="12" t="s">
        <v>11</v>
      </c>
      <c r="D305" s="12" t="s">
        <v>22</v>
      </c>
      <c r="E305" s="12" t="s">
        <v>66</v>
      </c>
      <c r="F305" s="120" t="s">
        <v>127</v>
      </c>
      <c r="G305" s="78"/>
      <c r="H305" s="78"/>
      <c r="I305" s="264">
        <v>540</v>
      </c>
      <c r="J305" s="314">
        <v>404.4</v>
      </c>
      <c r="K305" s="263">
        <f t="shared" si="16"/>
        <v>74.88888888888889</v>
      </c>
      <c r="L305" s="9"/>
      <c r="M305" s="9"/>
    </row>
    <row r="306" spans="1:13" ht="27.75" customHeight="1">
      <c r="A306" s="121" t="s">
        <v>142</v>
      </c>
      <c r="B306" s="108" t="s">
        <v>77</v>
      </c>
      <c r="C306" s="12" t="s">
        <v>11</v>
      </c>
      <c r="D306" s="12" t="s">
        <v>22</v>
      </c>
      <c r="E306" s="12" t="s">
        <v>66</v>
      </c>
      <c r="F306" s="120" t="s">
        <v>129</v>
      </c>
      <c r="G306" s="78"/>
      <c r="H306" s="78"/>
      <c r="I306" s="264">
        <v>175.7</v>
      </c>
      <c r="J306" s="314">
        <v>122.4</v>
      </c>
      <c r="K306" s="263">
        <f t="shared" si="16"/>
        <v>69.6642003414912</v>
      </c>
      <c r="L306" s="9"/>
      <c r="M306" s="9"/>
    </row>
    <row r="307" spans="1:13" ht="27.75" customHeight="1">
      <c r="A307" s="212" t="s">
        <v>131</v>
      </c>
      <c r="B307" s="177" t="s">
        <v>77</v>
      </c>
      <c r="C307" s="100" t="s">
        <v>11</v>
      </c>
      <c r="D307" s="100" t="s">
        <v>22</v>
      </c>
      <c r="E307" s="100" t="s">
        <v>66</v>
      </c>
      <c r="F307" s="120" t="s">
        <v>130</v>
      </c>
      <c r="G307" s="78"/>
      <c r="H307" s="78"/>
      <c r="I307" s="264">
        <f>10-0.3</f>
        <v>9.7</v>
      </c>
      <c r="J307" s="314">
        <v>4</v>
      </c>
      <c r="K307" s="263">
        <f t="shared" si="16"/>
        <v>41.23711340206186</v>
      </c>
      <c r="L307" s="9"/>
      <c r="M307" s="9"/>
    </row>
    <row r="308" spans="1:13" ht="35.25" customHeight="1">
      <c r="A308" s="212" t="s">
        <v>138</v>
      </c>
      <c r="B308" s="177" t="s">
        <v>77</v>
      </c>
      <c r="C308" s="100" t="s">
        <v>11</v>
      </c>
      <c r="D308" s="100" t="s">
        <v>22</v>
      </c>
      <c r="E308" s="100" t="s">
        <v>66</v>
      </c>
      <c r="F308" s="120" t="s">
        <v>137</v>
      </c>
      <c r="G308" s="78"/>
      <c r="H308" s="78"/>
      <c r="I308" s="264">
        <v>0.3</v>
      </c>
      <c r="J308" s="314">
        <v>0</v>
      </c>
      <c r="K308" s="263">
        <f t="shared" si="16"/>
        <v>0</v>
      </c>
      <c r="L308" s="9"/>
      <c r="M308" s="9"/>
    </row>
    <row r="309" spans="1:13" ht="39" customHeight="1">
      <c r="A309" s="215" t="s">
        <v>232</v>
      </c>
      <c r="B309" s="133" t="s">
        <v>77</v>
      </c>
      <c r="C309" s="134" t="s">
        <v>11</v>
      </c>
      <c r="D309" s="134" t="s">
        <v>22</v>
      </c>
      <c r="E309" s="134" t="s">
        <v>234</v>
      </c>
      <c r="F309" s="134" t="s">
        <v>7</v>
      </c>
      <c r="G309" s="286"/>
      <c r="H309" s="286"/>
      <c r="I309" s="263">
        <f>I311+I313</f>
        <v>11.7</v>
      </c>
      <c r="J309" s="263">
        <f>J311+J313</f>
        <v>0</v>
      </c>
      <c r="K309" s="263">
        <f t="shared" si="16"/>
        <v>0</v>
      </c>
      <c r="L309" s="9"/>
      <c r="M309" s="9"/>
    </row>
    <row r="310" spans="1:13" ht="39" customHeight="1">
      <c r="A310" s="227" t="s">
        <v>235</v>
      </c>
      <c r="B310" s="198" t="s">
        <v>77</v>
      </c>
      <c r="C310" s="137" t="s">
        <v>11</v>
      </c>
      <c r="D310" s="137" t="s">
        <v>22</v>
      </c>
      <c r="E310" s="137" t="s">
        <v>233</v>
      </c>
      <c r="F310" s="201" t="s">
        <v>7</v>
      </c>
      <c r="G310" s="286"/>
      <c r="H310" s="286"/>
      <c r="I310" s="270">
        <f>I311</f>
        <v>2</v>
      </c>
      <c r="J310" s="270">
        <f>J311</f>
        <v>0</v>
      </c>
      <c r="K310" s="263">
        <f t="shared" si="16"/>
        <v>0</v>
      </c>
      <c r="L310" s="9"/>
      <c r="M310" s="9"/>
    </row>
    <row r="311" spans="1:13" ht="39.75" customHeight="1">
      <c r="A311" s="121" t="s">
        <v>142</v>
      </c>
      <c r="B311" s="198" t="s">
        <v>77</v>
      </c>
      <c r="C311" s="137" t="s">
        <v>11</v>
      </c>
      <c r="D311" s="137" t="s">
        <v>22</v>
      </c>
      <c r="E311" s="137" t="s">
        <v>233</v>
      </c>
      <c r="F311" s="137" t="s">
        <v>129</v>
      </c>
      <c r="G311" s="199"/>
      <c r="H311" s="199"/>
      <c r="I311" s="270">
        <v>2</v>
      </c>
      <c r="J311" s="199"/>
      <c r="K311" s="263">
        <f t="shared" si="16"/>
        <v>0</v>
      </c>
      <c r="L311" s="9"/>
      <c r="M311" s="9"/>
    </row>
    <row r="312" spans="1:13" ht="39.75" customHeight="1">
      <c r="A312" s="227" t="s">
        <v>236</v>
      </c>
      <c r="B312" s="198" t="s">
        <v>77</v>
      </c>
      <c r="C312" s="137" t="s">
        <v>11</v>
      </c>
      <c r="D312" s="137" t="s">
        <v>22</v>
      </c>
      <c r="E312" s="137" t="s">
        <v>228</v>
      </c>
      <c r="F312" s="137" t="s">
        <v>7</v>
      </c>
      <c r="G312" s="199"/>
      <c r="H312" s="199"/>
      <c r="I312" s="270">
        <f>I313</f>
        <v>9.7</v>
      </c>
      <c r="J312" s="270">
        <f>J313</f>
        <v>0</v>
      </c>
      <c r="K312" s="263">
        <f t="shared" si="16"/>
        <v>0</v>
      </c>
      <c r="L312" s="9"/>
      <c r="M312" s="9"/>
    </row>
    <row r="313" spans="1:13" ht="45" customHeight="1">
      <c r="A313" s="121" t="s">
        <v>142</v>
      </c>
      <c r="B313" s="198" t="s">
        <v>77</v>
      </c>
      <c r="C313" s="137" t="s">
        <v>11</v>
      </c>
      <c r="D313" s="137" t="s">
        <v>22</v>
      </c>
      <c r="E313" s="137" t="s">
        <v>228</v>
      </c>
      <c r="F313" s="137" t="s">
        <v>129</v>
      </c>
      <c r="G313" s="199"/>
      <c r="H313" s="199"/>
      <c r="I313" s="270">
        <v>9.7</v>
      </c>
      <c r="J313" s="199"/>
      <c r="K313" s="263">
        <f t="shared" si="16"/>
        <v>0</v>
      </c>
      <c r="L313" s="9"/>
      <c r="M313" s="9"/>
    </row>
    <row r="314" spans="1:13" ht="45" customHeight="1">
      <c r="A314" s="157" t="s">
        <v>299</v>
      </c>
      <c r="B314" s="198" t="s">
        <v>77</v>
      </c>
      <c r="C314" s="137" t="s">
        <v>11</v>
      </c>
      <c r="D314" s="137" t="s">
        <v>22</v>
      </c>
      <c r="E314" s="137" t="s">
        <v>296</v>
      </c>
      <c r="F314" s="137" t="s">
        <v>7</v>
      </c>
      <c r="G314" s="199"/>
      <c r="H314" s="199"/>
      <c r="I314" s="270">
        <f>I315</f>
        <v>5.4</v>
      </c>
      <c r="J314" s="270">
        <f>J315</f>
        <v>0</v>
      </c>
      <c r="K314" s="263">
        <f t="shared" si="16"/>
        <v>0</v>
      </c>
      <c r="L314" s="9"/>
      <c r="M314" s="9"/>
    </row>
    <row r="315" spans="1:13" ht="45" customHeight="1">
      <c r="A315" s="121" t="s">
        <v>142</v>
      </c>
      <c r="B315" s="198" t="s">
        <v>77</v>
      </c>
      <c r="C315" s="137" t="s">
        <v>11</v>
      </c>
      <c r="D315" s="137" t="s">
        <v>22</v>
      </c>
      <c r="E315" s="137" t="s">
        <v>296</v>
      </c>
      <c r="F315" s="137" t="s">
        <v>129</v>
      </c>
      <c r="G315" s="199"/>
      <c r="H315" s="199"/>
      <c r="I315" s="270">
        <v>5.4</v>
      </c>
      <c r="J315" s="199"/>
      <c r="K315" s="263">
        <f t="shared" si="16"/>
        <v>0</v>
      </c>
      <c r="L315" s="9"/>
      <c r="M315" s="9"/>
    </row>
    <row r="316" spans="1:11" ht="107.25" customHeight="1">
      <c r="A316" s="222" t="s">
        <v>21</v>
      </c>
      <c r="B316" s="111" t="s">
        <v>77</v>
      </c>
      <c r="C316" s="64" t="s">
        <v>11</v>
      </c>
      <c r="D316" s="64" t="s">
        <v>22</v>
      </c>
      <c r="E316" s="64" t="s">
        <v>30</v>
      </c>
      <c r="F316" s="64" t="s">
        <v>7</v>
      </c>
      <c r="G316" s="78" t="e">
        <f>G317</f>
        <v>#REF!</v>
      </c>
      <c r="H316" s="78"/>
      <c r="I316" s="263">
        <f>I317</f>
        <v>1022</v>
      </c>
      <c r="J316" s="263">
        <f>J317</f>
        <v>667.9</v>
      </c>
      <c r="K316" s="263">
        <f t="shared" si="16"/>
        <v>65.35225048923678</v>
      </c>
    </row>
    <row r="317" spans="1:11" ht="36" customHeight="1">
      <c r="A317" s="157" t="s">
        <v>20</v>
      </c>
      <c r="B317" s="108" t="s">
        <v>77</v>
      </c>
      <c r="C317" s="12" t="s">
        <v>11</v>
      </c>
      <c r="D317" s="12" t="s">
        <v>22</v>
      </c>
      <c r="E317" s="12" t="s">
        <v>82</v>
      </c>
      <c r="F317" s="12" t="s">
        <v>7</v>
      </c>
      <c r="G317" s="78" t="e">
        <f>#REF!</f>
        <v>#REF!</v>
      </c>
      <c r="H317" s="78">
        <v>860</v>
      </c>
      <c r="I317" s="264">
        <f>I318+I319+I320+I321+I322</f>
        <v>1022</v>
      </c>
      <c r="J317" s="264">
        <f>J318+J319+J320+J321+J322</f>
        <v>667.9</v>
      </c>
      <c r="K317" s="263">
        <f t="shared" si="16"/>
        <v>65.35225048923678</v>
      </c>
    </row>
    <row r="318" spans="1:11" ht="26.25" customHeight="1">
      <c r="A318" s="212" t="s">
        <v>133</v>
      </c>
      <c r="B318" s="108" t="s">
        <v>77</v>
      </c>
      <c r="C318" s="12" t="s">
        <v>11</v>
      </c>
      <c r="D318" s="12" t="s">
        <v>22</v>
      </c>
      <c r="E318" s="12" t="s">
        <v>82</v>
      </c>
      <c r="F318" s="94" t="s">
        <v>135</v>
      </c>
      <c r="G318" s="78"/>
      <c r="H318" s="78"/>
      <c r="I318" s="264">
        <v>720</v>
      </c>
      <c r="J318" s="331">
        <v>507.6</v>
      </c>
      <c r="K318" s="263">
        <f t="shared" si="16"/>
        <v>70.5</v>
      </c>
    </row>
    <row r="319" spans="1:11" ht="31.5" customHeight="1">
      <c r="A319" s="121" t="s">
        <v>142</v>
      </c>
      <c r="B319" s="108" t="s">
        <v>77</v>
      </c>
      <c r="C319" s="12" t="s">
        <v>11</v>
      </c>
      <c r="D319" s="12" t="s">
        <v>22</v>
      </c>
      <c r="E319" s="12" t="s">
        <v>82</v>
      </c>
      <c r="F319" s="94" t="s">
        <v>129</v>
      </c>
      <c r="G319" s="78"/>
      <c r="H319" s="78"/>
      <c r="I319" s="264">
        <v>270</v>
      </c>
      <c r="J319" s="314">
        <v>159.7</v>
      </c>
      <c r="K319" s="263">
        <f t="shared" si="16"/>
        <v>59.14814814814814</v>
      </c>
    </row>
    <row r="320" spans="1:11" ht="60" customHeight="1">
      <c r="A320" s="253" t="s">
        <v>226</v>
      </c>
      <c r="B320" s="198" t="s">
        <v>77</v>
      </c>
      <c r="C320" s="137" t="s">
        <v>11</v>
      </c>
      <c r="D320" s="137" t="s">
        <v>22</v>
      </c>
      <c r="E320" s="137" t="s">
        <v>82</v>
      </c>
      <c r="F320" s="254" t="s">
        <v>225</v>
      </c>
      <c r="G320" s="199"/>
      <c r="H320" s="199"/>
      <c r="I320" s="270">
        <v>26</v>
      </c>
      <c r="J320" s="322"/>
      <c r="K320" s="263">
        <f t="shared" si="16"/>
        <v>0</v>
      </c>
    </row>
    <row r="321" spans="1:11" ht="31.5" customHeight="1">
      <c r="A321" s="212" t="s">
        <v>131</v>
      </c>
      <c r="B321" s="108" t="s">
        <v>77</v>
      </c>
      <c r="C321" s="12" t="s">
        <v>11</v>
      </c>
      <c r="D321" s="12" t="s">
        <v>22</v>
      </c>
      <c r="E321" s="12" t="s">
        <v>82</v>
      </c>
      <c r="F321" s="120" t="s">
        <v>130</v>
      </c>
      <c r="G321" s="78"/>
      <c r="H321" s="78"/>
      <c r="I321" s="264">
        <f>20-15</f>
        <v>5</v>
      </c>
      <c r="J321" s="314">
        <v>0.2</v>
      </c>
      <c r="K321" s="263">
        <f t="shared" si="16"/>
        <v>4</v>
      </c>
    </row>
    <row r="322" spans="1:11" ht="37.5" customHeight="1">
      <c r="A322" s="212" t="s">
        <v>138</v>
      </c>
      <c r="B322" s="108" t="s">
        <v>77</v>
      </c>
      <c r="C322" s="12" t="s">
        <v>11</v>
      </c>
      <c r="D322" s="12" t="s">
        <v>22</v>
      </c>
      <c r="E322" s="12" t="s">
        <v>82</v>
      </c>
      <c r="F322" s="120" t="s">
        <v>137</v>
      </c>
      <c r="G322" s="78"/>
      <c r="H322" s="78"/>
      <c r="I322" s="264">
        <v>1</v>
      </c>
      <c r="J322" s="314">
        <v>0.4</v>
      </c>
      <c r="K322" s="263">
        <f t="shared" si="16"/>
        <v>40</v>
      </c>
    </row>
    <row r="323" spans="1:11" ht="25.5" customHeight="1">
      <c r="A323" s="212" t="s">
        <v>83</v>
      </c>
      <c r="B323" s="182" t="s">
        <v>77</v>
      </c>
      <c r="C323" s="183" t="s">
        <v>11</v>
      </c>
      <c r="D323" s="183" t="s">
        <v>22</v>
      </c>
      <c r="E323" s="186" t="s">
        <v>198</v>
      </c>
      <c r="F323" s="183" t="s">
        <v>7</v>
      </c>
      <c r="G323" s="78"/>
      <c r="H323" s="78"/>
      <c r="I323" s="264">
        <f>I324</f>
        <v>0.8</v>
      </c>
      <c r="J323" s="264">
        <f>J324</f>
        <v>0</v>
      </c>
      <c r="K323" s="263">
        <f t="shared" si="16"/>
        <v>0</v>
      </c>
    </row>
    <row r="324" spans="1:11" ht="63.75" customHeight="1">
      <c r="A324" s="220" t="s">
        <v>229</v>
      </c>
      <c r="B324" s="182" t="s">
        <v>77</v>
      </c>
      <c r="C324" s="183" t="s">
        <v>11</v>
      </c>
      <c r="D324" s="183" t="s">
        <v>22</v>
      </c>
      <c r="E324" s="186" t="s">
        <v>199</v>
      </c>
      <c r="F324" s="183" t="s">
        <v>7</v>
      </c>
      <c r="G324" s="43"/>
      <c r="H324" s="43"/>
      <c r="I324" s="264">
        <f>I325</f>
        <v>0.8</v>
      </c>
      <c r="J324" s="264">
        <f>J325</f>
        <v>0</v>
      </c>
      <c r="K324" s="263">
        <f t="shared" si="16"/>
        <v>0</v>
      </c>
    </row>
    <row r="325" spans="1:11" ht="32.25" customHeight="1">
      <c r="A325" s="121" t="s">
        <v>142</v>
      </c>
      <c r="B325" s="182" t="s">
        <v>77</v>
      </c>
      <c r="C325" s="183" t="s">
        <v>11</v>
      </c>
      <c r="D325" s="183" t="s">
        <v>22</v>
      </c>
      <c r="E325" s="186" t="s">
        <v>199</v>
      </c>
      <c r="F325" s="183" t="s">
        <v>129</v>
      </c>
      <c r="G325" s="43"/>
      <c r="H325" s="43"/>
      <c r="I325" s="264">
        <v>0.8</v>
      </c>
      <c r="J325" s="43"/>
      <c r="K325" s="263">
        <f t="shared" si="16"/>
        <v>0</v>
      </c>
    </row>
    <row r="326" spans="1:11" ht="25.5" customHeight="1">
      <c r="A326" s="305" t="s">
        <v>109</v>
      </c>
      <c r="B326" s="182" t="s">
        <v>77</v>
      </c>
      <c r="C326" s="183" t="s">
        <v>11</v>
      </c>
      <c r="D326" s="183" t="s">
        <v>22</v>
      </c>
      <c r="E326" s="186" t="s">
        <v>52</v>
      </c>
      <c r="F326" s="183" t="s">
        <v>7</v>
      </c>
      <c r="G326" s="43"/>
      <c r="H326" s="43"/>
      <c r="I326" s="270">
        <f>I327</f>
        <v>5.699999999999999</v>
      </c>
      <c r="J326" s="270">
        <f>J327</f>
        <v>0</v>
      </c>
      <c r="K326" s="263">
        <f t="shared" si="16"/>
        <v>0</v>
      </c>
    </row>
    <row r="327" spans="1:11" ht="32.25" customHeight="1">
      <c r="A327" s="220" t="s">
        <v>80</v>
      </c>
      <c r="B327" s="182" t="s">
        <v>77</v>
      </c>
      <c r="C327" s="183" t="s">
        <v>11</v>
      </c>
      <c r="D327" s="183" t="s">
        <v>22</v>
      </c>
      <c r="E327" s="186" t="s">
        <v>81</v>
      </c>
      <c r="F327" s="183" t="s">
        <v>7</v>
      </c>
      <c r="G327" s="43"/>
      <c r="H327" s="43"/>
      <c r="I327" s="264">
        <f>I328</f>
        <v>5.699999999999999</v>
      </c>
      <c r="J327" s="264">
        <f>J328</f>
        <v>0</v>
      </c>
      <c r="K327" s="263">
        <f t="shared" si="16"/>
        <v>0</v>
      </c>
    </row>
    <row r="328" spans="1:11" ht="29.25" customHeight="1">
      <c r="A328" s="121" t="s">
        <v>142</v>
      </c>
      <c r="B328" s="182" t="s">
        <v>77</v>
      </c>
      <c r="C328" s="183" t="s">
        <v>11</v>
      </c>
      <c r="D328" s="183" t="s">
        <v>22</v>
      </c>
      <c r="E328" s="186" t="s">
        <v>81</v>
      </c>
      <c r="F328" s="183" t="s">
        <v>129</v>
      </c>
      <c r="G328" s="43"/>
      <c r="H328" s="43"/>
      <c r="I328" s="264">
        <f>5.6+0.1</f>
        <v>5.699999999999999</v>
      </c>
      <c r="J328" s="43"/>
      <c r="K328" s="263">
        <f t="shared" si="16"/>
        <v>0</v>
      </c>
    </row>
    <row r="329" spans="1:11" ht="134.25" customHeight="1">
      <c r="A329" s="121" t="s">
        <v>158</v>
      </c>
      <c r="B329" s="182" t="s">
        <v>77</v>
      </c>
      <c r="C329" s="183" t="s">
        <v>11</v>
      </c>
      <c r="D329" s="183" t="s">
        <v>22</v>
      </c>
      <c r="E329" s="186" t="s">
        <v>159</v>
      </c>
      <c r="F329" s="183" t="s">
        <v>7</v>
      </c>
      <c r="G329" s="43"/>
      <c r="H329" s="43"/>
      <c r="I329" s="270">
        <f>I331+I333+I334+I338+I341+I343+I345</f>
        <v>237.6</v>
      </c>
      <c r="J329" s="270">
        <f>J331+J333+J334+J338+J341+J343+J345</f>
        <v>195.4</v>
      </c>
      <c r="K329" s="263">
        <f t="shared" si="16"/>
        <v>82.23905723905725</v>
      </c>
    </row>
    <row r="330" spans="1:11" ht="78" customHeight="1">
      <c r="A330" s="228" t="s">
        <v>237</v>
      </c>
      <c r="B330" s="182" t="s">
        <v>77</v>
      </c>
      <c r="C330" s="183" t="s">
        <v>11</v>
      </c>
      <c r="D330" s="183" t="s">
        <v>22</v>
      </c>
      <c r="E330" s="186" t="s">
        <v>184</v>
      </c>
      <c r="F330" s="183" t="s">
        <v>7</v>
      </c>
      <c r="G330" s="43"/>
      <c r="H330" s="43"/>
      <c r="I330" s="264">
        <v>0.3</v>
      </c>
      <c r="J330" s="264">
        <v>0.3</v>
      </c>
      <c r="K330" s="263">
        <f t="shared" si="16"/>
        <v>100</v>
      </c>
    </row>
    <row r="331" spans="1:11" ht="29.25" customHeight="1">
      <c r="A331" s="228" t="s">
        <v>142</v>
      </c>
      <c r="B331" s="182" t="s">
        <v>77</v>
      </c>
      <c r="C331" s="183" t="s">
        <v>11</v>
      </c>
      <c r="D331" s="183" t="s">
        <v>22</v>
      </c>
      <c r="E331" s="186" t="s">
        <v>184</v>
      </c>
      <c r="F331" s="183" t="s">
        <v>129</v>
      </c>
      <c r="G331" s="43"/>
      <c r="H331" s="43"/>
      <c r="I331" s="264">
        <v>0.3</v>
      </c>
      <c r="J331" s="264">
        <v>0.3</v>
      </c>
      <c r="K331" s="263">
        <f t="shared" si="16"/>
        <v>100</v>
      </c>
    </row>
    <row r="332" spans="1:11" ht="29.25" customHeight="1">
      <c r="A332" s="298" t="s">
        <v>238</v>
      </c>
      <c r="B332" s="182" t="s">
        <v>77</v>
      </c>
      <c r="C332" s="183" t="s">
        <v>11</v>
      </c>
      <c r="D332" s="183" t="s">
        <v>22</v>
      </c>
      <c r="E332" s="186" t="s">
        <v>84</v>
      </c>
      <c r="F332" s="183" t="s">
        <v>7</v>
      </c>
      <c r="G332" s="43"/>
      <c r="H332" s="43"/>
      <c r="I332" s="264">
        <f>I333</f>
        <v>1.7</v>
      </c>
      <c r="J332" s="264">
        <f>J333</f>
        <v>0.9</v>
      </c>
      <c r="K332" s="263">
        <f t="shared" si="16"/>
        <v>52.94117647058824</v>
      </c>
    </row>
    <row r="333" spans="1:11" ht="29.25" customHeight="1">
      <c r="A333" s="228" t="s">
        <v>142</v>
      </c>
      <c r="B333" s="182" t="s">
        <v>77</v>
      </c>
      <c r="C333" s="183" t="s">
        <v>11</v>
      </c>
      <c r="D333" s="183" t="s">
        <v>22</v>
      </c>
      <c r="E333" s="186" t="s">
        <v>84</v>
      </c>
      <c r="F333" s="183" t="s">
        <v>129</v>
      </c>
      <c r="G333" s="43"/>
      <c r="H333" s="43"/>
      <c r="I333" s="264">
        <v>1.7</v>
      </c>
      <c r="J333" s="315">
        <v>0.9</v>
      </c>
      <c r="K333" s="263">
        <f t="shared" si="16"/>
        <v>52.94117647058824</v>
      </c>
    </row>
    <row r="334" spans="1:11" ht="59.25" customHeight="1">
      <c r="A334" s="157" t="s">
        <v>187</v>
      </c>
      <c r="B334" s="306" t="s">
        <v>77</v>
      </c>
      <c r="C334" s="155" t="s">
        <v>11</v>
      </c>
      <c r="D334" s="155" t="s">
        <v>22</v>
      </c>
      <c r="E334" s="155" t="s">
        <v>186</v>
      </c>
      <c r="F334" s="156" t="s">
        <v>7</v>
      </c>
      <c r="G334" s="43"/>
      <c r="H334" s="43"/>
      <c r="I334" s="264">
        <f>I335+I336+I337</f>
        <v>167.4</v>
      </c>
      <c r="J334" s="264">
        <f>J335+J336+J337</f>
        <v>154.3</v>
      </c>
      <c r="K334" s="263">
        <f t="shared" si="16"/>
        <v>92.17443249701314</v>
      </c>
    </row>
    <row r="335" spans="1:11" ht="28.5" customHeight="1">
      <c r="A335" s="212" t="s">
        <v>133</v>
      </c>
      <c r="B335" s="306" t="s">
        <v>77</v>
      </c>
      <c r="C335" s="155" t="s">
        <v>11</v>
      </c>
      <c r="D335" s="155" t="s">
        <v>22</v>
      </c>
      <c r="E335" s="155" t="s">
        <v>186</v>
      </c>
      <c r="F335" s="156" t="s">
        <v>135</v>
      </c>
      <c r="G335" s="43"/>
      <c r="H335" s="43"/>
      <c r="I335" s="264">
        <v>124.2</v>
      </c>
      <c r="J335" s="264">
        <v>111.1</v>
      </c>
      <c r="K335" s="263">
        <f t="shared" si="16"/>
        <v>89.4524959742351</v>
      </c>
    </row>
    <row r="336" spans="1:11" ht="29.25" customHeight="1">
      <c r="A336" s="121" t="s">
        <v>132</v>
      </c>
      <c r="B336" s="306" t="s">
        <v>77</v>
      </c>
      <c r="C336" s="155" t="s">
        <v>11</v>
      </c>
      <c r="D336" s="155" t="s">
        <v>22</v>
      </c>
      <c r="E336" s="155" t="s">
        <v>186</v>
      </c>
      <c r="F336" s="156" t="s">
        <v>136</v>
      </c>
      <c r="G336" s="43"/>
      <c r="H336" s="43"/>
      <c r="I336" s="264">
        <v>1</v>
      </c>
      <c r="J336" s="315">
        <v>1</v>
      </c>
      <c r="K336" s="263">
        <f aca="true" t="shared" si="17" ref="K336:K365">J336/I336*100</f>
        <v>100</v>
      </c>
    </row>
    <row r="337" spans="1:11" ht="29.25" customHeight="1">
      <c r="A337" s="121" t="s">
        <v>142</v>
      </c>
      <c r="B337" s="306" t="s">
        <v>77</v>
      </c>
      <c r="C337" s="155" t="s">
        <v>11</v>
      </c>
      <c r="D337" s="155" t="s">
        <v>22</v>
      </c>
      <c r="E337" s="155" t="s">
        <v>186</v>
      </c>
      <c r="F337" s="156" t="s">
        <v>129</v>
      </c>
      <c r="G337" s="43"/>
      <c r="H337" s="43"/>
      <c r="I337" s="264">
        <v>42.2</v>
      </c>
      <c r="J337" s="315">
        <v>42.2</v>
      </c>
      <c r="K337" s="263">
        <f t="shared" si="17"/>
        <v>100</v>
      </c>
    </row>
    <row r="338" spans="1:11" ht="27" customHeight="1">
      <c r="A338" s="297" t="s">
        <v>285</v>
      </c>
      <c r="B338" s="174" t="s">
        <v>77</v>
      </c>
      <c r="C338" s="156" t="s">
        <v>11</v>
      </c>
      <c r="D338" s="156" t="s">
        <v>22</v>
      </c>
      <c r="E338" s="155" t="s">
        <v>204</v>
      </c>
      <c r="F338" s="83" t="s">
        <v>7</v>
      </c>
      <c r="G338" s="43"/>
      <c r="H338" s="43"/>
      <c r="I338" s="264">
        <f>I339+I340</f>
        <v>62.4</v>
      </c>
      <c r="J338" s="264">
        <f>J339+J340</f>
        <v>38.4</v>
      </c>
      <c r="K338" s="263">
        <f t="shared" si="17"/>
        <v>61.53846153846154</v>
      </c>
    </row>
    <row r="339" spans="1:11" ht="29.25" customHeight="1">
      <c r="A339" s="121" t="s">
        <v>132</v>
      </c>
      <c r="B339" s="174" t="s">
        <v>77</v>
      </c>
      <c r="C339" s="156" t="s">
        <v>11</v>
      </c>
      <c r="D339" s="156" t="s">
        <v>22</v>
      </c>
      <c r="E339" s="155" t="s">
        <v>204</v>
      </c>
      <c r="F339" s="83" t="s">
        <v>136</v>
      </c>
      <c r="G339" s="43"/>
      <c r="H339" s="43"/>
      <c r="I339" s="264">
        <v>10</v>
      </c>
      <c r="J339" s="43"/>
      <c r="K339" s="263">
        <f t="shared" si="17"/>
        <v>0</v>
      </c>
    </row>
    <row r="340" spans="1:11" ht="29.25" customHeight="1">
      <c r="A340" s="121" t="s">
        <v>142</v>
      </c>
      <c r="B340" s="174" t="s">
        <v>77</v>
      </c>
      <c r="C340" s="156" t="s">
        <v>11</v>
      </c>
      <c r="D340" s="156" t="s">
        <v>22</v>
      </c>
      <c r="E340" s="155" t="s">
        <v>204</v>
      </c>
      <c r="F340" s="83" t="s">
        <v>129</v>
      </c>
      <c r="G340" s="43"/>
      <c r="H340" s="43"/>
      <c r="I340" s="264">
        <f>52.4</f>
        <v>52.4</v>
      </c>
      <c r="J340" s="332">
        <v>38.4</v>
      </c>
      <c r="K340" s="263">
        <f t="shared" si="17"/>
        <v>73.2824427480916</v>
      </c>
    </row>
    <row r="341" spans="1:11" ht="105.75" customHeight="1">
      <c r="A341" s="204" t="s">
        <v>208</v>
      </c>
      <c r="B341" s="165" t="s">
        <v>77</v>
      </c>
      <c r="C341" s="49" t="s">
        <v>11</v>
      </c>
      <c r="D341" s="49" t="s">
        <v>22</v>
      </c>
      <c r="E341" s="82" t="s">
        <v>209</v>
      </c>
      <c r="F341" s="49" t="s">
        <v>7</v>
      </c>
      <c r="G341" s="43"/>
      <c r="H341" s="43"/>
      <c r="I341" s="264">
        <f>I342</f>
        <v>2.7</v>
      </c>
      <c r="J341" s="264">
        <f>J342</f>
        <v>0</v>
      </c>
      <c r="K341" s="263">
        <f t="shared" si="17"/>
        <v>0</v>
      </c>
    </row>
    <row r="342" spans="1:11" ht="29.25" customHeight="1">
      <c r="A342" s="121" t="s">
        <v>142</v>
      </c>
      <c r="B342" s="108" t="s">
        <v>77</v>
      </c>
      <c r="C342" s="163" t="s">
        <v>11</v>
      </c>
      <c r="D342" s="163" t="s">
        <v>22</v>
      </c>
      <c r="E342" s="82" t="s">
        <v>209</v>
      </c>
      <c r="F342" s="49" t="s">
        <v>129</v>
      </c>
      <c r="G342" s="43"/>
      <c r="H342" s="43"/>
      <c r="I342" s="264">
        <v>2.7</v>
      </c>
      <c r="J342" s="43"/>
      <c r="K342" s="263">
        <f t="shared" si="17"/>
        <v>0</v>
      </c>
    </row>
    <row r="343" spans="1:11" ht="81.75" customHeight="1">
      <c r="A343" s="121" t="s">
        <v>188</v>
      </c>
      <c r="B343" s="50" t="s">
        <v>77</v>
      </c>
      <c r="C343" s="155" t="s">
        <v>11</v>
      </c>
      <c r="D343" s="155" t="s">
        <v>22</v>
      </c>
      <c r="E343" s="155" t="s">
        <v>189</v>
      </c>
      <c r="F343" s="155" t="s">
        <v>7</v>
      </c>
      <c r="G343" s="43"/>
      <c r="H343" s="43"/>
      <c r="I343" s="264">
        <f>I344</f>
        <v>1.7</v>
      </c>
      <c r="J343" s="264">
        <f>J344</f>
        <v>0.8</v>
      </c>
      <c r="K343" s="263">
        <f t="shared" si="17"/>
        <v>47.05882352941177</v>
      </c>
    </row>
    <row r="344" spans="1:11" ht="33" customHeight="1">
      <c r="A344" s="121" t="s">
        <v>142</v>
      </c>
      <c r="B344" s="50" t="s">
        <v>77</v>
      </c>
      <c r="C344" s="155" t="s">
        <v>11</v>
      </c>
      <c r="D344" s="155" t="s">
        <v>22</v>
      </c>
      <c r="E344" s="155" t="s">
        <v>189</v>
      </c>
      <c r="F344" s="155" t="s">
        <v>129</v>
      </c>
      <c r="G344" s="43"/>
      <c r="H344" s="43"/>
      <c r="I344" s="264">
        <v>1.7</v>
      </c>
      <c r="J344" s="264">
        <v>0.8</v>
      </c>
      <c r="K344" s="263">
        <f t="shared" si="17"/>
        <v>47.05882352941177</v>
      </c>
    </row>
    <row r="345" spans="1:11" ht="78.75" customHeight="1">
      <c r="A345" s="228" t="s">
        <v>214</v>
      </c>
      <c r="B345" s="108" t="s">
        <v>77</v>
      </c>
      <c r="C345" s="163" t="s">
        <v>11</v>
      </c>
      <c r="D345" s="163" t="s">
        <v>22</v>
      </c>
      <c r="E345" s="238" t="s">
        <v>215</v>
      </c>
      <c r="F345" s="49" t="s">
        <v>7</v>
      </c>
      <c r="G345" s="43"/>
      <c r="H345" s="43"/>
      <c r="I345" s="264">
        <f>I346</f>
        <v>1.4</v>
      </c>
      <c r="J345" s="264">
        <f>J346</f>
        <v>0.7</v>
      </c>
      <c r="K345" s="263">
        <f t="shared" si="17"/>
        <v>50</v>
      </c>
    </row>
    <row r="346" spans="1:11" ht="33" customHeight="1">
      <c r="A346" s="121" t="s">
        <v>142</v>
      </c>
      <c r="B346" s="108" t="s">
        <v>77</v>
      </c>
      <c r="C346" s="163" t="s">
        <v>11</v>
      </c>
      <c r="D346" s="163" t="s">
        <v>22</v>
      </c>
      <c r="E346" s="238" t="s">
        <v>215</v>
      </c>
      <c r="F346" s="49" t="s">
        <v>129</v>
      </c>
      <c r="G346" s="43"/>
      <c r="H346" s="43"/>
      <c r="I346" s="264">
        <v>1.4</v>
      </c>
      <c r="J346" s="264">
        <v>0.7</v>
      </c>
      <c r="K346" s="263">
        <f t="shared" si="17"/>
        <v>50</v>
      </c>
    </row>
    <row r="347" spans="1:11" ht="23.25" customHeight="1">
      <c r="A347" s="299" t="s">
        <v>40</v>
      </c>
      <c r="B347" s="290" t="s">
        <v>77</v>
      </c>
      <c r="C347" s="291" t="s">
        <v>23</v>
      </c>
      <c r="D347" s="291" t="s">
        <v>16</v>
      </c>
      <c r="E347" s="291" t="s">
        <v>29</v>
      </c>
      <c r="F347" s="291" t="s">
        <v>7</v>
      </c>
      <c r="G347" s="235" t="e">
        <f>G354+#REF!+#REF!</f>
        <v>#REF!</v>
      </c>
      <c r="H347" s="235"/>
      <c r="I347" s="263">
        <f>I354+I348</f>
        <v>14294.1</v>
      </c>
      <c r="J347" s="263">
        <f>J354+J348</f>
        <v>11228.5</v>
      </c>
      <c r="K347" s="263">
        <f t="shared" si="17"/>
        <v>78.55338916056274</v>
      </c>
    </row>
    <row r="348" spans="1:11" ht="23.25" customHeight="1">
      <c r="A348" s="215" t="s">
        <v>41</v>
      </c>
      <c r="B348" s="292" t="s">
        <v>77</v>
      </c>
      <c r="C348" s="293" t="s">
        <v>23</v>
      </c>
      <c r="D348" s="293" t="s">
        <v>24</v>
      </c>
      <c r="E348" s="293" t="s">
        <v>29</v>
      </c>
      <c r="F348" s="293" t="s">
        <v>7</v>
      </c>
      <c r="G348" s="236"/>
      <c r="H348" s="236"/>
      <c r="I348" s="263">
        <f>I349</f>
        <v>416.40000000000003</v>
      </c>
      <c r="J348" s="263">
        <f>J349</f>
        <v>97.6</v>
      </c>
      <c r="K348" s="263">
        <f t="shared" si="17"/>
        <v>23.439000960614788</v>
      </c>
    </row>
    <row r="349" spans="1:11" ht="21" customHeight="1">
      <c r="A349" s="213" t="s">
        <v>83</v>
      </c>
      <c r="B349" s="300" t="s">
        <v>77</v>
      </c>
      <c r="C349" s="301" t="s">
        <v>23</v>
      </c>
      <c r="D349" s="301" t="s">
        <v>24</v>
      </c>
      <c r="E349" s="301" t="s">
        <v>198</v>
      </c>
      <c r="F349" s="301" t="s">
        <v>7</v>
      </c>
      <c r="G349" s="302"/>
      <c r="H349" s="302"/>
      <c r="I349" s="270">
        <f>I350+I352</f>
        <v>416.40000000000003</v>
      </c>
      <c r="J349" s="270">
        <f>J350+J352</f>
        <v>97.6</v>
      </c>
      <c r="K349" s="263">
        <f t="shared" si="17"/>
        <v>23.439000960614788</v>
      </c>
    </row>
    <row r="350" spans="1:11" ht="78" customHeight="1">
      <c r="A350" s="157" t="s">
        <v>262</v>
      </c>
      <c r="B350" s="108" t="s">
        <v>77</v>
      </c>
      <c r="C350" s="12" t="s">
        <v>23</v>
      </c>
      <c r="D350" s="12" t="s">
        <v>24</v>
      </c>
      <c r="E350" s="239" t="s">
        <v>199</v>
      </c>
      <c r="F350" s="12" t="s">
        <v>7</v>
      </c>
      <c r="G350" s="161"/>
      <c r="H350" s="161"/>
      <c r="I350" s="264">
        <f>I351</f>
        <v>85.3</v>
      </c>
      <c r="J350" s="264">
        <f>J351</f>
        <v>97.6</v>
      </c>
      <c r="K350" s="263">
        <f t="shared" si="17"/>
        <v>114.41969519343493</v>
      </c>
    </row>
    <row r="351" spans="1:17" ht="50.25" customHeight="1">
      <c r="A351" s="121" t="s">
        <v>265</v>
      </c>
      <c r="B351" s="108" t="s">
        <v>77</v>
      </c>
      <c r="C351" s="12" t="s">
        <v>23</v>
      </c>
      <c r="D351" s="12" t="s">
        <v>24</v>
      </c>
      <c r="E351" s="239" t="s">
        <v>199</v>
      </c>
      <c r="F351" s="201" t="s">
        <v>225</v>
      </c>
      <c r="G351" s="161"/>
      <c r="H351" s="161"/>
      <c r="I351" s="264">
        <f>103.1-17.8</f>
        <v>85.3</v>
      </c>
      <c r="J351" s="264">
        <v>97.6</v>
      </c>
      <c r="K351" s="263">
        <f t="shared" si="17"/>
        <v>114.41969519343493</v>
      </c>
      <c r="N351" s="395"/>
      <c r="O351" s="395"/>
      <c r="P351" s="395"/>
      <c r="Q351" s="395"/>
    </row>
    <row r="352" spans="1:11" ht="86.25" customHeight="1">
      <c r="A352" s="159" t="s">
        <v>196</v>
      </c>
      <c r="B352" s="108" t="s">
        <v>77</v>
      </c>
      <c r="C352" s="12" t="s">
        <v>23</v>
      </c>
      <c r="D352" s="12" t="s">
        <v>24</v>
      </c>
      <c r="E352" s="239" t="s">
        <v>197</v>
      </c>
      <c r="F352" s="12" t="s">
        <v>7</v>
      </c>
      <c r="G352" s="161"/>
      <c r="H352" s="161"/>
      <c r="I352" s="264">
        <f>I353</f>
        <v>331.1</v>
      </c>
      <c r="J352" s="264">
        <f>J353</f>
        <v>0</v>
      </c>
      <c r="K352" s="263">
        <f t="shared" si="17"/>
        <v>0</v>
      </c>
    </row>
    <row r="353" spans="1:11" ht="23.25" customHeight="1">
      <c r="A353" s="158" t="s">
        <v>181</v>
      </c>
      <c r="B353" s="108" t="s">
        <v>77</v>
      </c>
      <c r="C353" s="12" t="s">
        <v>23</v>
      </c>
      <c r="D353" s="12" t="s">
        <v>24</v>
      </c>
      <c r="E353" s="239" t="s">
        <v>197</v>
      </c>
      <c r="F353" s="12" t="s">
        <v>182</v>
      </c>
      <c r="G353" s="161"/>
      <c r="H353" s="161"/>
      <c r="I353" s="270">
        <f>328.8+2.3</f>
        <v>331.1</v>
      </c>
      <c r="J353" s="161"/>
      <c r="K353" s="263">
        <f t="shared" si="17"/>
        <v>0</v>
      </c>
    </row>
    <row r="354" spans="1:11" ht="17.25" customHeight="1">
      <c r="A354" s="162" t="s">
        <v>200</v>
      </c>
      <c r="B354" s="111" t="s">
        <v>77</v>
      </c>
      <c r="C354" s="64" t="s">
        <v>23</v>
      </c>
      <c r="D354" s="64" t="s">
        <v>15</v>
      </c>
      <c r="E354" s="64" t="s">
        <v>29</v>
      </c>
      <c r="F354" s="64" t="s">
        <v>7</v>
      </c>
      <c r="G354" s="44" t="e">
        <f>#REF!</f>
        <v>#REF!</v>
      </c>
      <c r="H354" s="44"/>
      <c r="I354" s="263">
        <f>I355</f>
        <v>13877.7</v>
      </c>
      <c r="J354" s="263">
        <f>J355</f>
        <v>11130.9</v>
      </c>
      <c r="K354" s="263">
        <f t="shared" si="17"/>
        <v>80.20709483559956</v>
      </c>
    </row>
    <row r="355" spans="1:11" ht="126.75" customHeight="1">
      <c r="A355" s="203" t="s">
        <v>158</v>
      </c>
      <c r="B355" s="165" t="s">
        <v>77</v>
      </c>
      <c r="C355" s="163" t="s">
        <v>23</v>
      </c>
      <c r="D355" s="163" t="s">
        <v>15</v>
      </c>
      <c r="E355" s="303" t="s">
        <v>159</v>
      </c>
      <c r="F355" s="163" t="s">
        <v>7</v>
      </c>
      <c r="G355" s="69" t="e">
        <f>#REF!+#REF!</f>
        <v>#REF!</v>
      </c>
      <c r="H355" s="69"/>
      <c r="I355" s="264">
        <f>I356+I359+I361+I363</f>
        <v>13877.7</v>
      </c>
      <c r="J355" s="264">
        <f>J356+J359+J361+J363</f>
        <v>11130.9</v>
      </c>
      <c r="K355" s="263">
        <f t="shared" si="17"/>
        <v>80.20709483559956</v>
      </c>
    </row>
    <row r="356" spans="1:11" ht="128.25" customHeight="1">
      <c r="A356" s="14" t="s">
        <v>185</v>
      </c>
      <c r="B356" s="154" t="s">
        <v>77</v>
      </c>
      <c r="C356" s="155" t="s">
        <v>23</v>
      </c>
      <c r="D356" s="155" t="s">
        <v>15</v>
      </c>
      <c r="E356" s="155" t="s">
        <v>201</v>
      </c>
      <c r="F356" s="156" t="s">
        <v>7</v>
      </c>
      <c r="G356" s="164"/>
      <c r="H356" s="164"/>
      <c r="I356" s="266">
        <f>I357</f>
        <v>349.1</v>
      </c>
      <c r="J356" s="266">
        <f>J357</f>
        <v>226.3</v>
      </c>
      <c r="K356" s="263">
        <f t="shared" si="17"/>
        <v>64.82383271268978</v>
      </c>
    </row>
    <row r="357" spans="1:11" ht="152.25" customHeight="1">
      <c r="A357" s="16" t="s">
        <v>202</v>
      </c>
      <c r="B357" s="166" t="s">
        <v>77</v>
      </c>
      <c r="C357" s="155" t="s">
        <v>23</v>
      </c>
      <c r="D357" s="101" t="s">
        <v>15</v>
      </c>
      <c r="E357" s="101" t="s">
        <v>84</v>
      </c>
      <c r="F357" s="101" t="s">
        <v>7</v>
      </c>
      <c r="G357" s="164"/>
      <c r="H357" s="164"/>
      <c r="I357" s="266">
        <f>I358</f>
        <v>349.1</v>
      </c>
      <c r="J357" s="266">
        <f>J358</f>
        <v>226.3</v>
      </c>
      <c r="K357" s="263">
        <f t="shared" si="17"/>
        <v>64.82383271268978</v>
      </c>
    </row>
    <row r="358" spans="1:11" ht="47.25" customHeight="1">
      <c r="A358" s="121" t="s">
        <v>265</v>
      </c>
      <c r="B358" s="166" t="s">
        <v>77</v>
      </c>
      <c r="C358" s="155" t="s">
        <v>23</v>
      </c>
      <c r="D358" s="101" t="s">
        <v>15</v>
      </c>
      <c r="E358" s="101" t="s">
        <v>84</v>
      </c>
      <c r="F358" s="101" t="s">
        <v>225</v>
      </c>
      <c r="G358" s="164"/>
      <c r="H358" s="164"/>
      <c r="I358" s="266">
        <v>349.1</v>
      </c>
      <c r="J358" s="266">
        <v>226.3</v>
      </c>
      <c r="K358" s="263">
        <f t="shared" si="17"/>
        <v>64.82383271268978</v>
      </c>
    </row>
    <row r="359" spans="1:11" ht="51.75" customHeight="1">
      <c r="A359" s="208" t="s">
        <v>203</v>
      </c>
      <c r="B359" s="111" t="s">
        <v>77</v>
      </c>
      <c r="C359" s="21" t="s">
        <v>23</v>
      </c>
      <c r="D359" s="21" t="s">
        <v>15</v>
      </c>
      <c r="E359" s="289" t="s">
        <v>204</v>
      </c>
      <c r="F359" s="21" t="s">
        <v>7</v>
      </c>
      <c r="G359" s="69"/>
      <c r="H359" s="69"/>
      <c r="I359" s="263">
        <f>I360</f>
        <v>12484</v>
      </c>
      <c r="J359" s="263">
        <f>J360</f>
        <v>10043.5</v>
      </c>
      <c r="K359" s="263">
        <f t="shared" si="17"/>
        <v>80.45097725088112</v>
      </c>
    </row>
    <row r="360" spans="1:11" ht="53.25" customHeight="1">
      <c r="A360" s="228" t="s">
        <v>265</v>
      </c>
      <c r="B360" s="50" t="s">
        <v>77</v>
      </c>
      <c r="C360" s="49" t="s">
        <v>23</v>
      </c>
      <c r="D360" s="49" t="s">
        <v>15</v>
      </c>
      <c r="E360" s="82" t="s">
        <v>205</v>
      </c>
      <c r="F360" s="49" t="s">
        <v>225</v>
      </c>
      <c r="G360" s="164"/>
      <c r="H360" s="164"/>
      <c r="I360" s="264">
        <v>12484</v>
      </c>
      <c r="J360" s="314">
        <v>10043.5</v>
      </c>
      <c r="K360" s="263">
        <f t="shared" si="17"/>
        <v>80.45097725088112</v>
      </c>
    </row>
    <row r="361" spans="1:11" ht="33" customHeight="1">
      <c r="A361" s="5" t="s">
        <v>206</v>
      </c>
      <c r="B361" s="50" t="s">
        <v>77</v>
      </c>
      <c r="C361" s="96" t="s">
        <v>23</v>
      </c>
      <c r="D361" s="163" t="s">
        <v>15</v>
      </c>
      <c r="E361" s="155" t="s">
        <v>207</v>
      </c>
      <c r="F361" s="96" t="s">
        <v>7</v>
      </c>
      <c r="G361" s="79" t="e">
        <f>#REF!</f>
        <v>#REF!</v>
      </c>
      <c r="H361" s="79"/>
      <c r="I361" s="264">
        <f>I362</f>
        <v>499.6</v>
      </c>
      <c r="J361" s="264">
        <f>J362</f>
        <v>347.5</v>
      </c>
      <c r="K361" s="263">
        <f t="shared" si="17"/>
        <v>69.55564451561249</v>
      </c>
    </row>
    <row r="362" spans="1:11" ht="32.25" customHeight="1">
      <c r="A362" s="212" t="s">
        <v>133</v>
      </c>
      <c r="B362" s="119" t="s">
        <v>77</v>
      </c>
      <c r="C362" s="96" t="s">
        <v>23</v>
      </c>
      <c r="D362" s="163" t="s">
        <v>15</v>
      </c>
      <c r="E362" s="155" t="s">
        <v>207</v>
      </c>
      <c r="F362" s="83" t="s">
        <v>135</v>
      </c>
      <c r="G362" s="43"/>
      <c r="H362" s="43"/>
      <c r="I362" s="264">
        <v>499.6</v>
      </c>
      <c r="J362" s="264">
        <v>347.5</v>
      </c>
      <c r="K362" s="263">
        <f t="shared" si="17"/>
        <v>69.55564451561249</v>
      </c>
    </row>
    <row r="363" spans="1:11" ht="90" customHeight="1">
      <c r="A363" s="204" t="s">
        <v>208</v>
      </c>
      <c r="B363" s="165" t="s">
        <v>77</v>
      </c>
      <c r="C363" s="49" t="s">
        <v>23</v>
      </c>
      <c r="D363" s="49" t="s">
        <v>15</v>
      </c>
      <c r="E363" s="234" t="s">
        <v>209</v>
      </c>
      <c r="F363" s="49" t="s">
        <v>7</v>
      </c>
      <c r="G363" s="167" t="e">
        <f>#REF!</f>
        <v>#REF!</v>
      </c>
      <c r="H363" s="167"/>
      <c r="I363" s="264">
        <f>I364</f>
        <v>545</v>
      </c>
      <c r="J363" s="264">
        <f>J364</f>
        <v>513.6</v>
      </c>
      <c r="K363" s="263">
        <f t="shared" si="17"/>
        <v>94.23853211009174</v>
      </c>
    </row>
    <row r="364" spans="1:11" ht="45.75" customHeight="1">
      <c r="A364" s="121" t="s">
        <v>265</v>
      </c>
      <c r="B364" s="108" t="s">
        <v>77</v>
      </c>
      <c r="C364" s="163" t="s">
        <v>23</v>
      </c>
      <c r="D364" s="163" t="s">
        <v>15</v>
      </c>
      <c r="E364" s="234" t="s">
        <v>209</v>
      </c>
      <c r="F364" s="49" t="s">
        <v>225</v>
      </c>
      <c r="G364" s="164"/>
      <c r="H364" s="164"/>
      <c r="I364" s="264">
        <v>545</v>
      </c>
      <c r="J364" s="314">
        <v>513.6</v>
      </c>
      <c r="K364" s="263">
        <f t="shared" si="17"/>
        <v>94.23853211009174</v>
      </c>
    </row>
    <row r="365" spans="1:14" ht="21.75" customHeight="1">
      <c r="A365" s="259" t="s">
        <v>56</v>
      </c>
      <c r="B365" s="260"/>
      <c r="C365" s="261"/>
      <c r="D365" s="261"/>
      <c r="E365" s="261"/>
      <c r="F365" s="261"/>
      <c r="G365" s="262" t="e">
        <f>G15+G136+G172+G181+#REF!+G225</f>
        <v>#REF!</v>
      </c>
      <c r="H365" s="262" t="e">
        <f>H15+H136+H172+H181+#REF!+H225</f>
        <v>#REF!</v>
      </c>
      <c r="I365" s="274">
        <f>I15+I136+I172+I225+I181</f>
        <v>190600.06699999998</v>
      </c>
      <c r="J365" s="274">
        <f>J15+J136+J172+J225+J181</f>
        <v>128793.50000000001</v>
      </c>
      <c r="K365" s="263">
        <f t="shared" si="17"/>
        <v>67.57264151433904</v>
      </c>
      <c r="N365" s="240"/>
    </row>
    <row r="366" spans="1:14" ht="21.75" customHeight="1">
      <c r="A366" s="309"/>
      <c r="B366" s="310"/>
      <c r="C366" s="311"/>
      <c r="D366" s="311"/>
      <c r="E366" s="311"/>
      <c r="F366" s="311"/>
      <c r="G366" s="312"/>
      <c r="H366" s="312"/>
      <c r="I366" s="312"/>
      <c r="J366" s="312"/>
      <c r="K366" s="313"/>
      <c r="N366" s="240"/>
    </row>
    <row r="367" spans="1:14" ht="21.75" customHeight="1">
      <c r="A367" s="309"/>
      <c r="B367" s="310"/>
      <c r="C367" s="311"/>
      <c r="D367" s="311"/>
      <c r="E367" s="311"/>
      <c r="F367" s="311"/>
      <c r="G367" s="312"/>
      <c r="H367" s="312"/>
      <c r="I367" s="312"/>
      <c r="J367" s="312"/>
      <c r="K367" s="313"/>
      <c r="N367" s="240"/>
    </row>
    <row r="368" spans="1:14" ht="21.75" customHeight="1">
      <c r="A368" s="309"/>
      <c r="B368" s="310"/>
      <c r="C368" s="311"/>
      <c r="D368" s="311"/>
      <c r="E368" s="311"/>
      <c r="F368" s="311"/>
      <c r="G368" s="312"/>
      <c r="H368" s="312"/>
      <c r="I368" s="312"/>
      <c r="J368" s="312"/>
      <c r="K368" s="313"/>
      <c r="N368" s="240"/>
    </row>
    <row r="369" spans="1:14" ht="21.75" customHeight="1">
      <c r="A369" s="309"/>
      <c r="B369" s="310"/>
      <c r="C369" s="311"/>
      <c r="D369" s="311"/>
      <c r="E369" s="311"/>
      <c r="F369" s="311"/>
      <c r="G369" s="312"/>
      <c r="H369" s="312"/>
      <c r="I369" s="312"/>
      <c r="J369" s="312"/>
      <c r="K369" s="313"/>
      <c r="N369" s="240"/>
    </row>
    <row r="370" spans="1:14" ht="21.75" customHeight="1">
      <c r="A370" s="309"/>
      <c r="B370" s="310"/>
      <c r="C370" s="311"/>
      <c r="D370" s="311"/>
      <c r="E370" s="311"/>
      <c r="F370" s="311"/>
      <c r="G370" s="312"/>
      <c r="H370" s="312"/>
      <c r="I370" s="312"/>
      <c r="J370" s="312"/>
      <c r="K370" s="313"/>
      <c r="N370" s="240"/>
    </row>
    <row r="372" ht="12.75">
      <c r="K372" s="2"/>
    </row>
  </sheetData>
  <sheetProtection/>
  <mergeCells count="20">
    <mergeCell ref="L31:Q31"/>
    <mergeCell ref="N42:P42"/>
    <mergeCell ref="N145:P145"/>
    <mergeCell ref="N351:Q351"/>
    <mergeCell ref="F12:F14"/>
    <mergeCell ref="G12:G13"/>
    <mergeCell ref="H12:H13"/>
    <mergeCell ref="I12:I13"/>
    <mergeCell ref="J12:J13"/>
    <mergeCell ref="K12:K13"/>
    <mergeCell ref="C1:K1"/>
    <mergeCell ref="A2:K2"/>
    <mergeCell ref="A3:K3"/>
    <mergeCell ref="B4:K7"/>
    <mergeCell ref="A9:K11"/>
    <mergeCell ref="A12:A14"/>
    <mergeCell ref="B12:B14"/>
    <mergeCell ref="C12:C14"/>
    <mergeCell ref="D12:D14"/>
    <mergeCell ref="E12:E14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2"/>
  <sheetViews>
    <sheetView view="pageBreakPreview" zoomScaleNormal="85" zoomScaleSheetLayoutView="100" zoomScalePageLayoutView="0" workbookViewId="0" topLeftCell="A9">
      <selection activeCell="I30" sqref="I30"/>
    </sheetView>
  </sheetViews>
  <sheetFormatPr defaultColWidth="9.00390625" defaultRowHeight="12.75"/>
  <cols>
    <col min="1" max="1" width="38.375" style="0" customWidth="1"/>
    <col min="2" max="2" width="4.625" style="2" customWidth="1"/>
    <col min="3" max="3" width="4.75390625" style="2" customWidth="1"/>
    <col min="4" max="4" width="4.875" style="2" customWidth="1"/>
    <col min="5" max="5" width="8.75390625" style="2" customWidth="1"/>
    <col min="6" max="6" width="5.625" style="2" customWidth="1"/>
    <col min="7" max="8" width="12.875" style="2" hidden="1" customWidth="1"/>
    <col min="9" max="10" width="12.875" style="2" customWidth="1"/>
    <col min="11" max="11" width="9.875" style="275" customWidth="1"/>
    <col min="12" max="13" width="9.125" style="0" hidden="1" customWidth="1"/>
    <col min="14" max="14" width="10.125" style="0" hidden="1" customWidth="1"/>
    <col min="15" max="18" width="9.125" style="0" hidden="1" customWidth="1"/>
  </cols>
  <sheetData>
    <row r="1" spans="3:11" ht="21" customHeight="1">
      <c r="C1" s="381" t="s">
        <v>302</v>
      </c>
      <c r="D1" s="381"/>
      <c r="E1" s="381"/>
      <c r="F1" s="381"/>
      <c r="G1" s="381"/>
      <c r="H1" s="381"/>
      <c r="I1" s="381"/>
      <c r="J1" s="381"/>
      <c r="K1" s="381"/>
    </row>
    <row r="2" spans="1:11" ht="17.25" customHeight="1">
      <c r="A2" s="381" t="s">
        <v>303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ht="12.75" customHeight="1">
      <c r="A3" s="383" t="s">
        <v>292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2:11" ht="12.75" customHeight="1">
      <c r="B4" s="384" t="s">
        <v>304</v>
      </c>
      <c r="C4" s="384"/>
      <c r="D4" s="384"/>
      <c r="E4" s="384"/>
      <c r="F4" s="384"/>
      <c r="G4" s="384"/>
      <c r="H4" s="384"/>
      <c r="I4" s="384"/>
      <c r="J4" s="384"/>
      <c r="K4" s="384"/>
    </row>
    <row r="5" spans="2:11" ht="20.25" customHeight="1"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2:11" ht="12.75" hidden="1">
      <c r="B6" s="384"/>
      <c r="C6" s="384"/>
      <c r="D6" s="384"/>
      <c r="E6" s="384"/>
      <c r="F6" s="384"/>
      <c r="G6" s="384"/>
      <c r="H6" s="384"/>
      <c r="I6" s="384"/>
      <c r="J6" s="384"/>
      <c r="K6" s="384"/>
    </row>
    <row r="7" spans="2:11" ht="14.25" customHeight="1" hidden="1">
      <c r="B7" s="384"/>
      <c r="C7" s="384"/>
      <c r="D7" s="384"/>
      <c r="E7" s="384"/>
      <c r="F7" s="384"/>
      <c r="G7" s="384"/>
      <c r="H7" s="384"/>
      <c r="I7" s="384"/>
      <c r="J7" s="384"/>
      <c r="K7" s="384"/>
    </row>
    <row r="8" ht="12.75" hidden="1"/>
    <row r="9" spans="1:11" ht="12.75">
      <c r="A9" s="385" t="s">
        <v>305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</row>
    <row r="10" spans="1:11" ht="12.75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</row>
    <row r="11" spans="1:11" ht="32.25" customHeight="1">
      <c r="A11" s="386"/>
      <c r="B11" s="386"/>
      <c r="C11" s="386"/>
      <c r="D11" s="386"/>
      <c r="E11" s="386"/>
      <c r="F11" s="386"/>
      <c r="G11" s="386"/>
      <c r="H11" s="386"/>
      <c r="I11" s="386"/>
      <c r="J11" s="386"/>
      <c r="K11" s="386"/>
    </row>
    <row r="12" spans="1:11" ht="37.5" customHeight="1">
      <c r="A12" s="387" t="s">
        <v>286</v>
      </c>
      <c r="B12" s="390" t="s">
        <v>2</v>
      </c>
      <c r="C12" s="390" t="s">
        <v>3</v>
      </c>
      <c r="D12" s="390" t="s">
        <v>4</v>
      </c>
      <c r="E12" s="390" t="s">
        <v>5</v>
      </c>
      <c r="F12" s="390" t="s">
        <v>6</v>
      </c>
      <c r="G12" s="396" t="s">
        <v>112</v>
      </c>
      <c r="H12" s="396" t="s">
        <v>113</v>
      </c>
      <c r="I12" s="399" t="s">
        <v>270</v>
      </c>
      <c r="J12" s="396" t="s">
        <v>306</v>
      </c>
      <c r="K12" s="399" t="s">
        <v>307</v>
      </c>
    </row>
    <row r="13" spans="1:11" ht="36" customHeight="1">
      <c r="A13" s="388"/>
      <c r="B13" s="391"/>
      <c r="C13" s="391"/>
      <c r="D13" s="391"/>
      <c r="E13" s="391"/>
      <c r="F13" s="391"/>
      <c r="G13" s="397"/>
      <c r="H13" s="398"/>
      <c r="I13" s="400"/>
      <c r="J13" s="398"/>
      <c r="K13" s="400"/>
    </row>
    <row r="14" spans="1:11" ht="4.5" customHeight="1" hidden="1">
      <c r="A14" s="389"/>
      <c r="B14" s="392"/>
      <c r="C14" s="392"/>
      <c r="D14" s="392"/>
      <c r="E14" s="392"/>
      <c r="F14" s="392"/>
      <c r="G14" s="19"/>
      <c r="H14" s="19"/>
      <c r="I14" s="19"/>
      <c r="J14" s="19"/>
      <c r="K14" s="276"/>
    </row>
    <row r="15" spans="1:11" ht="34.5" customHeight="1">
      <c r="A15" s="205" t="s">
        <v>105</v>
      </c>
      <c r="B15" s="129" t="s">
        <v>49</v>
      </c>
      <c r="C15" s="130" t="s">
        <v>16</v>
      </c>
      <c r="D15" s="130" t="s">
        <v>16</v>
      </c>
      <c r="E15" s="130" t="s">
        <v>29</v>
      </c>
      <c r="F15" s="130" t="s">
        <v>7</v>
      </c>
      <c r="G15" s="132" t="e">
        <f>G16+G71+#REF!+G107+G80+#REF!+#REF!+#REF!</f>
        <v>#REF!</v>
      </c>
      <c r="H15" s="132" t="e">
        <f>H16+H71+H80+#REF!+#REF!+#REF!+H107</f>
        <v>#REF!</v>
      </c>
      <c r="I15" s="263">
        <f>I16+I71+I80+I107+I103+I99+I132+I92</f>
        <v>25364.137000000006</v>
      </c>
      <c r="J15" s="263">
        <f>J16+J71+J80+J107+J103+J99+J132+J92</f>
        <v>21397.100000000006</v>
      </c>
      <c r="K15" s="263">
        <f>J15/I15*100</f>
        <v>84.35966104425316</v>
      </c>
    </row>
    <row r="16" spans="1:11" ht="21.75" customHeight="1">
      <c r="A16" s="17" t="s">
        <v>17</v>
      </c>
      <c r="B16" s="102" t="s">
        <v>49</v>
      </c>
      <c r="C16" s="21" t="s">
        <v>8</v>
      </c>
      <c r="D16" s="21" t="s">
        <v>16</v>
      </c>
      <c r="E16" s="21" t="s">
        <v>29</v>
      </c>
      <c r="F16" s="21" t="s">
        <v>7</v>
      </c>
      <c r="G16" s="20" t="e">
        <f>G17+G24+G43+G47</f>
        <v>#REF!</v>
      </c>
      <c r="H16" s="20" t="e">
        <f>H17+H24+H43+H47</f>
        <v>#REF!</v>
      </c>
      <c r="I16" s="263">
        <f>I17+I24+I43+I47+I39</f>
        <v>14289.7</v>
      </c>
      <c r="J16" s="263">
        <f>J17+J24+J43+J47+J39</f>
        <v>12019.5</v>
      </c>
      <c r="K16" s="263">
        <f aca="true" t="shared" si="0" ref="K16:K79">J16/I16*100</f>
        <v>84.11303246394256</v>
      </c>
    </row>
    <row r="17" spans="1:11" ht="75" customHeight="1">
      <c r="A17" s="294" t="s">
        <v>58</v>
      </c>
      <c r="B17" s="38">
        <v>503</v>
      </c>
      <c r="C17" s="29" t="s">
        <v>8</v>
      </c>
      <c r="D17" s="29" t="s">
        <v>24</v>
      </c>
      <c r="E17" s="29" t="s">
        <v>29</v>
      </c>
      <c r="F17" s="29" t="s">
        <v>7</v>
      </c>
      <c r="G17" s="22">
        <f>G18</f>
        <v>0</v>
      </c>
      <c r="H17" s="22">
        <f>H18</f>
        <v>607</v>
      </c>
      <c r="I17" s="263">
        <f>I18</f>
        <v>641</v>
      </c>
      <c r="J17" s="263">
        <f>J18</f>
        <v>540.9</v>
      </c>
      <c r="K17" s="263">
        <f t="shared" si="0"/>
        <v>84.38377535101404</v>
      </c>
    </row>
    <row r="18" spans="1:11" ht="78.75" customHeight="1">
      <c r="A18" s="295" t="s">
        <v>59</v>
      </c>
      <c r="B18" s="103">
        <v>503</v>
      </c>
      <c r="C18" s="49" t="s">
        <v>8</v>
      </c>
      <c r="D18" s="49" t="s">
        <v>24</v>
      </c>
      <c r="E18" s="49" t="s">
        <v>244</v>
      </c>
      <c r="F18" s="49" t="s">
        <v>7</v>
      </c>
      <c r="G18" s="23"/>
      <c r="H18" s="23">
        <f>H19</f>
        <v>607</v>
      </c>
      <c r="I18" s="264">
        <f>I19</f>
        <v>641</v>
      </c>
      <c r="J18" s="264">
        <f>J19</f>
        <v>540.9</v>
      </c>
      <c r="K18" s="263">
        <f t="shared" si="0"/>
        <v>84.38377535101404</v>
      </c>
    </row>
    <row r="19" spans="1:11" ht="22.5" customHeight="1">
      <c r="A19" s="204" t="s">
        <v>18</v>
      </c>
      <c r="B19" s="103">
        <v>503</v>
      </c>
      <c r="C19" s="49" t="s">
        <v>8</v>
      </c>
      <c r="D19" s="49" t="s">
        <v>24</v>
      </c>
      <c r="E19" s="49" t="s">
        <v>66</v>
      </c>
      <c r="F19" s="49" t="s">
        <v>7</v>
      </c>
      <c r="G19" s="23"/>
      <c r="H19" s="23">
        <f>H22</f>
        <v>607</v>
      </c>
      <c r="I19" s="264">
        <f>I20+I21+I22+I23</f>
        <v>641</v>
      </c>
      <c r="J19" s="264">
        <f>J20+J21+J22+J23</f>
        <v>540.9</v>
      </c>
      <c r="K19" s="263">
        <f t="shared" si="0"/>
        <v>84.38377535101404</v>
      </c>
    </row>
    <row r="20" spans="1:11" ht="24" customHeight="1">
      <c r="A20" s="212" t="s">
        <v>133</v>
      </c>
      <c r="B20" s="103">
        <v>503</v>
      </c>
      <c r="C20" s="49" t="s">
        <v>8</v>
      </c>
      <c r="D20" s="49" t="s">
        <v>24</v>
      </c>
      <c r="E20" s="49" t="s">
        <v>66</v>
      </c>
      <c r="F20" s="49" t="s">
        <v>127</v>
      </c>
      <c r="G20" s="23"/>
      <c r="H20" s="23"/>
      <c r="I20" s="264">
        <v>529</v>
      </c>
      <c r="J20" s="314">
        <v>449.4</v>
      </c>
      <c r="K20" s="263">
        <f t="shared" si="0"/>
        <v>84.95274102079394</v>
      </c>
    </row>
    <row r="21" spans="1:11" ht="33" customHeight="1">
      <c r="A21" s="121" t="s">
        <v>132</v>
      </c>
      <c r="B21" s="103">
        <v>503</v>
      </c>
      <c r="C21" s="49" t="s">
        <v>8</v>
      </c>
      <c r="D21" s="49" t="s">
        <v>24</v>
      </c>
      <c r="E21" s="49" t="s">
        <v>66</v>
      </c>
      <c r="F21" s="49" t="s">
        <v>128</v>
      </c>
      <c r="G21" s="23"/>
      <c r="H21" s="23"/>
      <c r="I21" s="264">
        <v>2</v>
      </c>
      <c r="J21" s="314">
        <v>0</v>
      </c>
      <c r="K21" s="263">
        <f t="shared" si="0"/>
        <v>0</v>
      </c>
    </row>
    <row r="22" spans="1:11" ht="30" customHeight="1">
      <c r="A22" s="121" t="s">
        <v>142</v>
      </c>
      <c r="B22" s="103">
        <v>503</v>
      </c>
      <c r="C22" s="49" t="s">
        <v>8</v>
      </c>
      <c r="D22" s="49" t="s">
        <v>24</v>
      </c>
      <c r="E22" s="49" t="s">
        <v>66</v>
      </c>
      <c r="F22" s="49" t="s">
        <v>129</v>
      </c>
      <c r="G22" s="24"/>
      <c r="H22" s="24">
        <v>607</v>
      </c>
      <c r="I22" s="264">
        <v>106</v>
      </c>
      <c r="J22" s="315">
        <v>91.5</v>
      </c>
      <c r="K22" s="263">
        <f t="shared" si="0"/>
        <v>86.32075471698113</v>
      </c>
    </row>
    <row r="23" spans="1:11" ht="36.75" customHeight="1">
      <c r="A23" s="212" t="s">
        <v>138</v>
      </c>
      <c r="B23" s="103">
        <v>503</v>
      </c>
      <c r="C23" s="49" t="s">
        <v>8</v>
      </c>
      <c r="D23" s="49" t="s">
        <v>24</v>
      </c>
      <c r="E23" s="49" t="s">
        <v>66</v>
      </c>
      <c r="F23" s="49" t="s">
        <v>137</v>
      </c>
      <c r="G23" s="24"/>
      <c r="H23" s="24"/>
      <c r="I23" s="264">
        <v>4</v>
      </c>
      <c r="J23" s="315">
        <v>0</v>
      </c>
      <c r="K23" s="263">
        <f t="shared" si="0"/>
        <v>0</v>
      </c>
    </row>
    <row r="24" spans="1:11" ht="93.75" customHeight="1">
      <c r="A24" s="208" t="s">
        <v>60</v>
      </c>
      <c r="B24" s="18">
        <v>503</v>
      </c>
      <c r="C24" s="21" t="s">
        <v>8</v>
      </c>
      <c r="D24" s="21" t="s">
        <v>15</v>
      </c>
      <c r="E24" s="21" t="s">
        <v>29</v>
      </c>
      <c r="F24" s="21" t="s">
        <v>7</v>
      </c>
      <c r="G24" s="25" t="e">
        <f>G25+G33+#REF!+#REF!+G37</f>
        <v>#REF!</v>
      </c>
      <c r="H24" s="25" t="e">
        <f>H25+H33+#REF!+#REF!+H37</f>
        <v>#REF!</v>
      </c>
      <c r="I24" s="263">
        <f>I25</f>
        <v>7996.499999999999</v>
      </c>
      <c r="J24" s="263">
        <f>J25</f>
        <v>6704.2</v>
      </c>
      <c r="K24" s="263">
        <f t="shared" si="0"/>
        <v>83.83917964109298</v>
      </c>
    </row>
    <row r="25" spans="1:11" ht="80.25" customHeight="1">
      <c r="A25" s="204" t="s">
        <v>59</v>
      </c>
      <c r="B25" s="103">
        <v>503</v>
      </c>
      <c r="C25" s="49" t="s">
        <v>8</v>
      </c>
      <c r="D25" s="49" t="s">
        <v>15</v>
      </c>
      <c r="E25" s="49" t="s">
        <v>65</v>
      </c>
      <c r="F25" s="49" t="s">
        <v>7</v>
      </c>
      <c r="G25" s="26"/>
      <c r="H25" s="26">
        <f>H26</f>
        <v>6485</v>
      </c>
      <c r="I25" s="270">
        <f>I26+I33</f>
        <v>7996.499999999999</v>
      </c>
      <c r="J25" s="270">
        <f>J26+J33</f>
        <v>6704.2</v>
      </c>
      <c r="K25" s="263">
        <f t="shared" si="0"/>
        <v>83.83917964109298</v>
      </c>
    </row>
    <row r="26" spans="1:11" ht="21.75" customHeight="1">
      <c r="A26" s="204" t="s">
        <v>18</v>
      </c>
      <c r="B26" s="103">
        <v>503</v>
      </c>
      <c r="C26" s="49" t="s">
        <v>8</v>
      </c>
      <c r="D26" s="49" t="s">
        <v>15</v>
      </c>
      <c r="E26" s="49" t="s">
        <v>66</v>
      </c>
      <c r="F26" s="49" t="s">
        <v>7</v>
      </c>
      <c r="G26" s="26"/>
      <c r="H26" s="26">
        <f>H31</f>
        <v>6485</v>
      </c>
      <c r="I26" s="264">
        <f>I27+I28+I29+I30+I31+I32</f>
        <v>7241.099999999999</v>
      </c>
      <c r="J26" s="264">
        <f>J27+J28+J29+J30+J31+J32</f>
        <v>5948.8</v>
      </c>
      <c r="K26" s="263">
        <f t="shared" si="0"/>
        <v>82.1532640068498</v>
      </c>
    </row>
    <row r="27" spans="1:11" ht="25.5" customHeight="1">
      <c r="A27" s="212" t="s">
        <v>133</v>
      </c>
      <c r="B27" s="103">
        <v>503</v>
      </c>
      <c r="C27" s="49" t="s">
        <v>8</v>
      </c>
      <c r="D27" s="49" t="s">
        <v>15</v>
      </c>
      <c r="E27" s="49" t="s">
        <v>66</v>
      </c>
      <c r="F27" s="49" t="s">
        <v>127</v>
      </c>
      <c r="G27" s="26"/>
      <c r="H27" s="26"/>
      <c r="I27" s="264">
        <v>5186.4</v>
      </c>
      <c r="J27" s="314">
        <v>4689</v>
      </c>
      <c r="K27" s="263">
        <f t="shared" si="0"/>
        <v>90.4095326237853</v>
      </c>
    </row>
    <row r="28" spans="1:11" ht="39" customHeight="1">
      <c r="A28" s="121" t="s">
        <v>132</v>
      </c>
      <c r="B28" s="103">
        <v>503</v>
      </c>
      <c r="C28" s="49" t="s">
        <v>8</v>
      </c>
      <c r="D28" s="49" t="s">
        <v>15</v>
      </c>
      <c r="E28" s="49" t="s">
        <v>66</v>
      </c>
      <c r="F28" s="49" t="s">
        <v>128</v>
      </c>
      <c r="G28" s="26"/>
      <c r="H28" s="26"/>
      <c r="I28" s="264">
        <f>4-1.8</f>
        <v>2.2</v>
      </c>
      <c r="J28" s="314">
        <v>0.8</v>
      </c>
      <c r="K28" s="263">
        <f t="shared" si="0"/>
        <v>36.36363636363637</v>
      </c>
    </row>
    <row r="29" spans="1:11" ht="38.25" customHeight="1">
      <c r="A29" s="121" t="s">
        <v>142</v>
      </c>
      <c r="B29" s="103">
        <v>503</v>
      </c>
      <c r="C29" s="49" t="s">
        <v>8</v>
      </c>
      <c r="D29" s="49" t="s">
        <v>15</v>
      </c>
      <c r="E29" s="49" t="s">
        <v>66</v>
      </c>
      <c r="F29" s="49" t="s">
        <v>129</v>
      </c>
      <c r="G29" s="26"/>
      <c r="H29" s="26"/>
      <c r="I29" s="264">
        <v>1899.3</v>
      </c>
      <c r="J29" s="314">
        <v>1134</v>
      </c>
      <c r="K29" s="263">
        <f t="shared" si="0"/>
        <v>59.70620755015006</v>
      </c>
    </row>
    <row r="30" spans="1:11" ht="48" customHeight="1">
      <c r="A30" s="121" t="s">
        <v>279</v>
      </c>
      <c r="B30" s="99">
        <v>528</v>
      </c>
      <c r="C30" s="12" t="s">
        <v>8</v>
      </c>
      <c r="D30" s="100" t="s">
        <v>15</v>
      </c>
      <c r="E30" s="100" t="s">
        <v>66</v>
      </c>
      <c r="F30" s="100" t="s">
        <v>225</v>
      </c>
      <c r="G30" s="26"/>
      <c r="H30" s="26"/>
      <c r="I30" s="264">
        <v>68</v>
      </c>
      <c r="J30" s="314">
        <v>68</v>
      </c>
      <c r="K30" s="263">
        <f t="shared" si="0"/>
        <v>100</v>
      </c>
    </row>
    <row r="31" spans="1:17" ht="31.5" customHeight="1">
      <c r="A31" s="212" t="s">
        <v>131</v>
      </c>
      <c r="B31" s="103">
        <v>503</v>
      </c>
      <c r="C31" s="49" t="s">
        <v>8</v>
      </c>
      <c r="D31" s="49" t="s">
        <v>15</v>
      </c>
      <c r="E31" s="49" t="s">
        <v>66</v>
      </c>
      <c r="F31" s="49" t="s">
        <v>130</v>
      </c>
      <c r="G31" s="27"/>
      <c r="H31" s="27">
        <v>6485</v>
      </c>
      <c r="I31" s="264">
        <v>54.5</v>
      </c>
      <c r="J31" s="318">
        <v>34</v>
      </c>
      <c r="K31" s="263">
        <f t="shared" si="0"/>
        <v>62.38532110091744</v>
      </c>
      <c r="L31" s="393"/>
      <c r="M31" s="394"/>
      <c r="N31" s="394"/>
      <c r="O31" s="394"/>
      <c r="P31" s="394"/>
      <c r="Q31" s="394"/>
    </row>
    <row r="32" spans="1:17" ht="34.5" customHeight="1">
      <c r="A32" s="212" t="s">
        <v>138</v>
      </c>
      <c r="B32" s="103">
        <v>503</v>
      </c>
      <c r="C32" s="49" t="s">
        <v>8</v>
      </c>
      <c r="D32" s="49" t="s">
        <v>15</v>
      </c>
      <c r="E32" s="49" t="s">
        <v>66</v>
      </c>
      <c r="F32" s="49" t="s">
        <v>137</v>
      </c>
      <c r="G32" s="27"/>
      <c r="H32" s="27"/>
      <c r="I32" s="264">
        <f>100-69.3</f>
        <v>30.700000000000003</v>
      </c>
      <c r="J32" s="318">
        <v>23</v>
      </c>
      <c r="K32" s="263">
        <f t="shared" si="0"/>
        <v>74.91856677524429</v>
      </c>
      <c r="L32" s="138"/>
      <c r="M32" s="138"/>
      <c r="N32" s="138"/>
      <c r="O32" s="138"/>
      <c r="P32" s="138"/>
      <c r="Q32" s="138"/>
    </row>
    <row r="33" spans="1:11" ht="54.75" customHeight="1">
      <c r="A33" s="208" t="s">
        <v>61</v>
      </c>
      <c r="B33" s="103">
        <v>503</v>
      </c>
      <c r="C33" s="49" t="s">
        <v>8</v>
      </c>
      <c r="D33" s="49" t="s">
        <v>15</v>
      </c>
      <c r="E33" s="49" t="s">
        <v>245</v>
      </c>
      <c r="F33" s="49" t="s">
        <v>7</v>
      </c>
      <c r="G33" s="26"/>
      <c r="H33" s="26">
        <f>H36</f>
        <v>713</v>
      </c>
      <c r="I33" s="263">
        <f>I34+I35+I36</f>
        <v>755.4</v>
      </c>
      <c r="J33" s="263">
        <f>J34+J35+J36</f>
        <v>755.4</v>
      </c>
      <c r="K33" s="263">
        <f t="shared" si="0"/>
        <v>100</v>
      </c>
    </row>
    <row r="34" spans="1:11" ht="30.75" customHeight="1">
      <c r="A34" s="212" t="s">
        <v>133</v>
      </c>
      <c r="B34" s="103">
        <v>503</v>
      </c>
      <c r="C34" s="49" t="s">
        <v>8</v>
      </c>
      <c r="D34" s="49" t="s">
        <v>15</v>
      </c>
      <c r="E34" s="49" t="s">
        <v>245</v>
      </c>
      <c r="F34" s="49" t="s">
        <v>127</v>
      </c>
      <c r="G34" s="26"/>
      <c r="H34" s="26"/>
      <c r="I34" s="264">
        <f>697-224.5</f>
        <v>472.5</v>
      </c>
      <c r="J34" s="314">
        <v>472.5</v>
      </c>
      <c r="K34" s="263">
        <f t="shared" si="0"/>
        <v>100</v>
      </c>
    </row>
    <row r="35" spans="1:11" ht="30.75" customHeight="1">
      <c r="A35" s="121" t="s">
        <v>132</v>
      </c>
      <c r="B35" s="103">
        <v>503</v>
      </c>
      <c r="C35" s="49" t="s">
        <v>8</v>
      </c>
      <c r="D35" s="49" t="s">
        <v>15</v>
      </c>
      <c r="E35" s="49" t="s">
        <v>245</v>
      </c>
      <c r="F35" s="49" t="s">
        <v>225</v>
      </c>
      <c r="G35" s="26"/>
      <c r="H35" s="26"/>
      <c r="I35" s="264">
        <v>282.9</v>
      </c>
      <c r="J35" s="314">
        <v>282.9</v>
      </c>
      <c r="K35" s="263">
        <f t="shared" si="0"/>
        <v>100</v>
      </c>
    </row>
    <row r="36" spans="1:11" ht="30" customHeight="1" hidden="1">
      <c r="A36" s="206" t="s">
        <v>142</v>
      </c>
      <c r="B36" s="103">
        <v>503</v>
      </c>
      <c r="C36" s="49" t="s">
        <v>8</v>
      </c>
      <c r="D36" s="49" t="s">
        <v>15</v>
      </c>
      <c r="E36" s="49" t="s">
        <v>62</v>
      </c>
      <c r="F36" s="49" t="s">
        <v>129</v>
      </c>
      <c r="G36" s="26"/>
      <c r="H36" s="26">
        <v>713</v>
      </c>
      <c r="I36" s="264"/>
      <c r="J36" s="316"/>
      <c r="K36" s="263" t="e">
        <f t="shared" si="0"/>
        <v>#DIV/0!</v>
      </c>
    </row>
    <row r="37" spans="1:11" ht="0.75" customHeight="1" hidden="1">
      <c r="A37" s="16"/>
      <c r="B37" s="87"/>
      <c r="C37" s="49"/>
      <c r="D37" s="49"/>
      <c r="E37" s="49"/>
      <c r="F37" s="49"/>
      <c r="G37" s="28"/>
      <c r="H37" s="28"/>
      <c r="I37" s="263"/>
      <c r="J37" s="317"/>
      <c r="K37" s="263" t="e">
        <f t="shared" si="0"/>
        <v>#DIV/0!</v>
      </c>
    </row>
    <row r="38" spans="1:11" ht="18" customHeight="1" hidden="1">
      <c r="A38" s="207"/>
      <c r="B38" s="87"/>
      <c r="C38" s="49"/>
      <c r="D38" s="49"/>
      <c r="E38" s="49"/>
      <c r="F38" s="49"/>
      <c r="G38" s="28"/>
      <c r="H38" s="28"/>
      <c r="I38" s="264"/>
      <c r="J38" s="317"/>
      <c r="K38" s="263" t="e">
        <f t="shared" si="0"/>
        <v>#DIV/0!</v>
      </c>
    </row>
    <row r="39" spans="1:11" ht="30.75" customHeight="1">
      <c r="A39" s="208" t="s">
        <v>156</v>
      </c>
      <c r="B39" s="104">
        <v>503</v>
      </c>
      <c r="C39" s="21" t="s">
        <v>8</v>
      </c>
      <c r="D39" s="21" t="s">
        <v>11</v>
      </c>
      <c r="E39" s="21" t="s">
        <v>29</v>
      </c>
      <c r="F39" s="21" t="s">
        <v>7</v>
      </c>
      <c r="G39" s="178"/>
      <c r="H39" s="178"/>
      <c r="I39" s="263">
        <f aca="true" t="shared" si="1" ref="I39:J41">I40</f>
        <v>491.79999999999995</v>
      </c>
      <c r="J39" s="263">
        <f t="shared" si="1"/>
        <v>491.6</v>
      </c>
      <c r="K39" s="263">
        <f t="shared" si="0"/>
        <v>99.95933306222042</v>
      </c>
    </row>
    <row r="40" spans="1:11" ht="24" customHeight="1">
      <c r="A40" s="204" t="s">
        <v>155</v>
      </c>
      <c r="B40" s="87">
        <v>503</v>
      </c>
      <c r="C40" s="49" t="s">
        <v>8</v>
      </c>
      <c r="D40" s="49" t="s">
        <v>11</v>
      </c>
      <c r="E40" s="49" t="s">
        <v>246</v>
      </c>
      <c r="F40" s="49" t="s">
        <v>7</v>
      </c>
      <c r="G40" s="28"/>
      <c r="H40" s="28"/>
      <c r="I40" s="264">
        <f t="shared" si="1"/>
        <v>491.79999999999995</v>
      </c>
      <c r="J40" s="264">
        <f t="shared" si="1"/>
        <v>491.6</v>
      </c>
      <c r="K40" s="263">
        <f t="shared" si="0"/>
        <v>99.95933306222042</v>
      </c>
    </row>
    <row r="41" spans="1:11" ht="24" customHeight="1">
      <c r="A41" s="204" t="s">
        <v>154</v>
      </c>
      <c r="B41" s="87">
        <v>503</v>
      </c>
      <c r="C41" s="49" t="s">
        <v>8</v>
      </c>
      <c r="D41" s="49" t="s">
        <v>11</v>
      </c>
      <c r="E41" s="49" t="s">
        <v>247</v>
      </c>
      <c r="F41" s="49" t="s">
        <v>7</v>
      </c>
      <c r="G41" s="28"/>
      <c r="H41" s="28"/>
      <c r="I41" s="264">
        <f t="shared" si="1"/>
        <v>491.79999999999995</v>
      </c>
      <c r="J41" s="264">
        <f t="shared" si="1"/>
        <v>491.6</v>
      </c>
      <c r="K41" s="263">
        <f t="shared" si="0"/>
        <v>99.95933306222042</v>
      </c>
    </row>
    <row r="42" spans="1:16" ht="24" customHeight="1">
      <c r="A42" s="227" t="s">
        <v>240</v>
      </c>
      <c r="B42" s="187">
        <v>503</v>
      </c>
      <c r="C42" s="140" t="s">
        <v>8</v>
      </c>
      <c r="D42" s="140" t="s">
        <v>11</v>
      </c>
      <c r="E42" s="140" t="s">
        <v>247</v>
      </c>
      <c r="F42" s="140" t="s">
        <v>239</v>
      </c>
      <c r="G42" s="188"/>
      <c r="H42" s="188"/>
      <c r="I42" s="270">
        <f>686.8-195</f>
        <v>491.79999999999995</v>
      </c>
      <c r="J42" s="319">
        <v>491.6</v>
      </c>
      <c r="K42" s="263">
        <f t="shared" si="0"/>
        <v>99.95933306222042</v>
      </c>
      <c r="N42" s="395"/>
      <c r="O42" s="395"/>
      <c r="P42" s="395"/>
    </row>
    <row r="43" spans="1:11" ht="21.75" customHeight="1">
      <c r="A43" s="17" t="s">
        <v>28</v>
      </c>
      <c r="B43" s="105" t="s">
        <v>49</v>
      </c>
      <c r="C43" s="29" t="s">
        <v>8</v>
      </c>
      <c r="D43" s="30">
        <v>11</v>
      </c>
      <c r="E43" s="29" t="s">
        <v>29</v>
      </c>
      <c r="F43" s="29" t="s">
        <v>7</v>
      </c>
      <c r="G43" s="31">
        <f>G44</f>
        <v>0</v>
      </c>
      <c r="H43" s="31">
        <f>H44</f>
        <v>100</v>
      </c>
      <c r="I43" s="263">
        <f>I44</f>
        <v>15</v>
      </c>
      <c r="J43" s="263">
        <f>J44</f>
        <v>0</v>
      </c>
      <c r="K43" s="263">
        <f t="shared" si="0"/>
        <v>0</v>
      </c>
    </row>
    <row r="44" spans="1:11" ht="22.5" customHeight="1">
      <c r="A44" s="296" t="s">
        <v>28</v>
      </c>
      <c r="B44" s="106" t="s">
        <v>49</v>
      </c>
      <c r="C44" s="32" t="s">
        <v>8</v>
      </c>
      <c r="D44" s="33">
        <v>11</v>
      </c>
      <c r="E44" s="32" t="s">
        <v>31</v>
      </c>
      <c r="F44" s="32" t="s">
        <v>7</v>
      </c>
      <c r="G44" s="34"/>
      <c r="H44" s="34">
        <f>H45</f>
        <v>100</v>
      </c>
      <c r="I44" s="264">
        <f>I45</f>
        <v>15</v>
      </c>
      <c r="J44" s="319">
        <v>0</v>
      </c>
      <c r="K44" s="263">
        <f t="shared" si="0"/>
        <v>0</v>
      </c>
    </row>
    <row r="45" spans="1:11" ht="28.5" customHeight="1">
      <c r="A45" s="204" t="s">
        <v>86</v>
      </c>
      <c r="B45" s="37">
        <v>503</v>
      </c>
      <c r="C45" s="32" t="s">
        <v>8</v>
      </c>
      <c r="D45" s="33">
        <v>11</v>
      </c>
      <c r="E45" s="91" t="s">
        <v>103</v>
      </c>
      <c r="F45" s="32" t="s">
        <v>7</v>
      </c>
      <c r="G45" s="34"/>
      <c r="H45" s="34">
        <f>H46</f>
        <v>100</v>
      </c>
      <c r="I45" s="264">
        <f>I46</f>
        <v>15</v>
      </c>
      <c r="J45" s="319">
        <v>0</v>
      </c>
      <c r="K45" s="263">
        <f t="shared" si="0"/>
        <v>0</v>
      </c>
    </row>
    <row r="46" spans="1:11" ht="23.25" customHeight="1">
      <c r="A46" s="204" t="s">
        <v>146</v>
      </c>
      <c r="B46" s="37">
        <v>503</v>
      </c>
      <c r="C46" s="32" t="s">
        <v>8</v>
      </c>
      <c r="D46" s="32" t="s">
        <v>42</v>
      </c>
      <c r="E46" s="32" t="s">
        <v>103</v>
      </c>
      <c r="F46" s="98" t="s">
        <v>134</v>
      </c>
      <c r="G46" s="36"/>
      <c r="H46" s="36">
        <v>100</v>
      </c>
      <c r="I46" s="264">
        <f>20-5</f>
        <v>15</v>
      </c>
      <c r="J46" s="319">
        <v>0</v>
      </c>
      <c r="K46" s="263">
        <f t="shared" si="0"/>
        <v>0</v>
      </c>
    </row>
    <row r="47" spans="1:11" ht="30" customHeight="1">
      <c r="A47" s="208" t="s">
        <v>19</v>
      </c>
      <c r="B47" s="38">
        <v>503</v>
      </c>
      <c r="C47" s="29" t="s">
        <v>8</v>
      </c>
      <c r="D47" s="29" t="s">
        <v>116</v>
      </c>
      <c r="E47" s="29" t="s">
        <v>29</v>
      </c>
      <c r="F47" s="29" t="s">
        <v>7</v>
      </c>
      <c r="G47" s="39" t="e">
        <f>#REF!+#REF!+#REF!</f>
        <v>#REF!</v>
      </c>
      <c r="H47" s="39" t="e">
        <f>#REF!+#REF!+#REF!</f>
        <v>#REF!</v>
      </c>
      <c r="I47" s="263">
        <f>I48+I56+I58</f>
        <v>5145.400000000001</v>
      </c>
      <c r="J47" s="263">
        <f>J48+J56+J58</f>
        <v>4282.8</v>
      </c>
      <c r="K47" s="263">
        <f t="shared" si="0"/>
        <v>83.2355113305088</v>
      </c>
    </row>
    <row r="48" spans="1:11" ht="33.75" customHeight="1">
      <c r="A48" s="16" t="s">
        <v>110</v>
      </c>
      <c r="B48" s="37">
        <v>503</v>
      </c>
      <c r="C48" s="32" t="s">
        <v>8</v>
      </c>
      <c r="D48" s="32" t="s">
        <v>116</v>
      </c>
      <c r="E48" s="98" t="s">
        <v>125</v>
      </c>
      <c r="F48" s="98" t="s">
        <v>7</v>
      </c>
      <c r="G48" s="8"/>
      <c r="H48" s="40"/>
      <c r="I48" s="263">
        <f>I49</f>
        <v>3887.5</v>
      </c>
      <c r="J48" s="263">
        <f>J49</f>
        <v>3364.1000000000004</v>
      </c>
      <c r="K48" s="263">
        <f t="shared" si="0"/>
        <v>86.5363344051447</v>
      </c>
    </row>
    <row r="49" spans="1:11" ht="33" customHeight="1">
      <c r="A49" s="204" t="s">
        <v>20</v>
      </c>
      <c r="B49" s="37">
        <v>503</v>
      </c>
      <c r="C49" s="32" t="s">
        <v>8</v>
      </c>
      <c r="D49" s="32" t="s">
        <v>116</v>
      </c>
      <c r="E49" s="98" t="s">
        <v>248</v>
      </c>
      <c r="F49" s="32" t="s">
        <v>7</v>
      </c>
      <c r="G49" s="41"/>
      <c r="H49" s="41">
        <v>2777</v>
      </c>
      <c r="I49" s="264">
        <f>I50+I51+I52+I53+I54</f>
        <v>3887.5</v>
      </c>
      <c r="J49" s="264">
        <f>J50+J51+J52+J53+J54</f>
        <v>3364.1000000000004</v>
      </c>
      <c r="K49" s="263">
        <f t="shared" si="0"/>
        <v>86.5363344051447</v>
      </c>
    </row>
    <row r="50" spans="1:11" ht="26.25" customHeight="1">
      <c r="A50" s="212" t="s">
        <v>133</v>
      </c>
      <c r="B50" s="37">
        <v>503</v>
      </c>
      <c r="C50" s="32" t="s">
        <v>8</v>
      </c>
      <c r="D50" s="32" t="s">
        <v>116</v>
      </c>
      <c r="E50" s="98" t="s">
        <v>248</v>
      </c>
      <c r="F50" s="98" t="s">
        <v>135</v>
      </c>
      <c r="G50" s="84"/>
      <c r="H50" s="84"/>
      <c r="I50" s="264">
        <v>2340.2</v>
      </c>
      <c r="J50" s="317">
        <v>2148.9</v>
      </c>
      <c r="K50" s="263">
        <f t="shared" si="0"/>
        <v>91.82548500128195</v>
      </c>
    </row>
    <row r="51" spans="1:11" ht="30" customHeight="1">
      <c r="A51" s="121" t="s">
        <v>132</v>
      </c>
      <c r="B51" s="37">
        <v>503</v>
      </c>
      <c r="C51" s="32" t="s">
        <v>8</v>
      </c>
      <c r="D51" s="32" t="s">
        <v>116</v>
      </c>
      <c r="E51" s="98" t="s">
        <v>248</v>
      </c>
      <c r="F51" s="98" t="s">
        <v>136</v>
      </c>
      <c r="G51" s="84"/>
      <c r="H51" s="84"/>
      <c r="I51" s="264">
        <v>3</v>
      </c>
      <c r="J51" s="317">
        <v>0</v>
      </c>
      <c r="K51" s="263">
        <f t="shared" si="0"/>
        <v>0</v>
      </c>
    </row>
    <row r="52" spans="1:11" ht="31.5" customHeight="1">
      <c r="A52" s="121" t="s">
        <v>142</v>
      </c>
      <c r="B52" s="37">
        <v>503</v>
      </c>
      <c r="C52" s="32" t="s">
        <v>8</v>
      </c>
      <c r="D52" s="32" t="s">
        <v>116</v>
      </c>
      <c r="E52" s="98" t="s">
        <v>248</v>
      </c>
      <c r="F52" s="98" t="s">
        <v>129</v>
      </c>
      <c r="G52" s="84"/>
      <c r="H52" s="84"/>
      <c r="I52" s="264">
        <v>1524.3</v>
      </c>
      <c r="J52" s="317">
        <v>1206.4</v>
      </c>
      <c r="K52" s="263">
        <f t="shared" si="0"/>
        <v>79.14452535590108</v>
      </c>
    </row>
    <row r="53" spans="1:11" ht="27" customHeight="1">
      <c r="A53" s="212" t="s">
        <v>131</v>
      </c>
      <c r="B53" s="37">
        <v>503</v>
      </c>
      <c r="C53" s="32" t="s">
        <v>8</v>
      </c>
      <c r="D53" s="32" t="s">
        <v>116</v>
      </c>
      <c r="E53" s="98" t="s">
        <v>248</v>
      </c>
      <c r="F53" s="98" t="s">
        <v>130</v>
      </c>
      <c r="G53" s="84"/>
      <c r="H53" s="84"/>
      <c r="I53" s="264">
        <v>10</v>
      </c>
      <c r="J53" s="317">
        <v>3.3</v>
      </c>
      <c r="K53" s="263">
        <f t="shared" si="0"/>
        <v>32.99999999999999</v>
      </c>
    </row>
    <row r="54" spans="1:11" ht="27.75" customHeight="1">
      <c r="A54" s="212" t="s">
        <v>138</v>
      </c>
      <c r="B54" s="37">
        <v>503</v>
      </c>
      <c r="C54" s="32" t="s">
        <v>8</v>
      </c>
      <c r="D54" s="32" t="s">
        <v>116</v>
      </c>
      <c r="E54" s="98" t="s">
        <v>248</v>
      </c>
      <c r="F54" s="98" t="s">
        <v>137</v>
      </c>
      <c r="G54" s="84"/>
      <c r="H54" s="84"/>
      <c r="I54" s="264">
        <v>10</v>
      </c>
      <c r="J54" s="317">
        <v>5.5</v>
      </c>
      <c r="K54" s="263">
        <f t="shared" si="0"/>
        <v>55.00000000000001</v>
      </c>
    </row>
    <row r="55" spans="1:11" ht="74.25" customHeight="1">
      <c r="A55" s="212" t="s">
        <v>263</v>
      </c>
      <c r="B55" s="37">
        <v>503</v>
      </c>
      <c r="C55" s="98" t="s">
        <v>8</v>
      </c>
      <c r="D55" s="98" t="s">
        <v>116</v>
      </c>
      <c r="E55" s="98" t="s">
        <v>264</v>
      </c>
      <c r="F55" s="98" t="s">
        <v>7</v>
      </c>
      <c r="G55" s="84"/>
      <c r="H55" s="84"/>
      <c r="I55" s="264">
        <f>I56</f>
        <v>441.3</v>
      </c>
      <c r="J55" s="264">
        <f>J56</f>
        <v>440.5</v>
      </c>
      <c r="K55" s="263">
        <f t="shared" si="0"/>
        <v>99.81871742578744</v>
      </c>
    </row>
    <row r="56" spans="1:11" ht="49.5" customHeight="1">
      <c r="A56" s="121" t="s">
        <v>150</v>
      </c>
      <c r="B56" s="37">
        <v>503</v>
      </c>
      <c r="C56" s="32" t="s">
        <v>8</v>
      </c>
      <c r="D56" s="32" t="s">
        <v>116</v>
      </c>
      <c r="E56" s="98" t="s">
        <v>1</v>
      </c>
      <c r="F56" s="98" t="s">
        <v>7</v>
      </c>
      <c r="G56" s="84"/>
      <c r="H56" s="84"/>
      <c r="I56" s="264">
        <f>I57</f>
        <v>441.3</v>
      </c>
      <c r="J56" s="264">
        <f>J57</f>
        <v>440.5</v>
      </c>
      <c r="K56" s="263">
        <f t="shared" si="0"/>
        <v>99.81871742578744</v>
      </c>
    </row>
    <row r="57" spans="1:11" ht="29.25" customHeight="1">
      <c r="A57" s="212" t="s">
        <v>133</v>
      </c>
      <c r="B57" s="37">
        <v>503</v>
      </c>
      <c r="C57" s="32" t="s">
        <v>8</v>
      </c>
      <c r="D57" s="32" t="s">
        <v>116</v>
      </c>
      <c r="E57" s="98" t="s">
        <v>1</v>
      </c>
      <c r="F57" s="98" t="s">
        <v>135</v>
      </c>
      <c r="G57" s="97">
        <f>25.8+240.2</f>
        <v>266</v>
      </c>
      <c r="H57" s="84"/>
      <c r="I57" s="264">
        <v>441.3</v>
      </c>
      <c r="J57" s="319">
        <v>440.5</v>
      </c>
      <c r="K57" s="263">
        <f t="shared" si="0"/>
        <v>99.81871742578744</v>
      </c>
    </row>
    <row r="58" spans="1:11" ht="126" customHeight="1">
      <c r="A58" s="212" t="s">
        <v>158</v>
      </c>
      <c r="B58" s="37">
        <v>503</v>
      </c>
      <c r="C58" s="98" t="s">
        <v>8</v>
      </c>
      <c r="D58" s="98" t="s">
        <v>116</v>
      </c>
      <c r="E58" s="98" t="s">
        <v>159</v>
      </c>
      <c r="F58" s="98" t="s">
        <v>7</v>
      </c>
      <c r="G58" s="97"/>
      <c r="H58" s="84"/>
      <c r="I58" s="264">
        <f>I59+I62+I65+I68</f>
        <v>816.6</v>
      </c>
      <c r="J58" s="264">
        <f>J59+J62+J65+J68</f>
        <v>478.2</v>
      </c>
      <c r="K58" s="263">
        <f t="shared" si="0"/>
        <v>58.559882439382804</v>
      </c>
    </row>
    <row r="59" spans="1:11" ht="93.75" customHeight="1">
      <c r="A59" s="139" t="s">
        <v>160</v>
      </c>
      <c r="B59" s="87">
        <v>503</v>
      </c>
      <c r="C59" s="49" t="s">
        <v>8</v>
      </c>
      <c r="D59" s="49" t="s">
        <v>116</v>
      </c>
      <c r="E59" s="140" t="s">
        <v>161</v>
      </c>
      <c r="F59" s="49" t="s">
        <v>7</v>
      </c>
      <c r="G59" s="97"/>
      <c r="H59" s="84"/>
      <c r="I59" s="264">
        <f>I60+I61</f>
        <v>428.2</v>
      </c>
      <c r="J59" s="264">
        <f>J60+J61</f>
        <v>216.7</v>
      </c>
      <c r="K59" s="263">
        <f t="shared" si="0"/>
        <v>50.60719290051377</v>
      </c>
    </row>
    <row r="60" spans="1:11" ht="25.5" customHeight="1">
      <c r="A60" s="227" t="s">
        <v>133</v>
      </c>
      <c r="B60" s="87">
        <v>503</v>
      </c>
      <c r="C60" s="49" t="s">
        <v>8</v>
      </c>
      <c r="D60" s="49" t="s">
        <v>116</v>
      </c>
      <c r="E60" s="140" t="s">
        <v>161</v>
      </c>
      <c r="F60" s="49" t="s">
        <v>127</v>
      </c>
      <c r="G60" s="97"/>
      <c r="H60" s="84"/>
      <c r="I60" s="264">
        <v>333.7</v>
      </c>
      <c r="J60" s="319">
        <v>181.6</v>
      </c>
      <c r="K60" s="263">
        <f t="shared" si="0"/>
        <v>54.4201378483668</v>
      </c>
    </row>
    <row r="61" spans="1:11" ht="35.25" customHeight="1">
      <c r="A61" s="228" t="s">
        <v>142</v>
      </c>
      <c r="B61" s="87">
        <v>503</v>
      </c>
      <c r="C61" s="49" t="s">
        <v>8</v>
      </c>
      <c r="D61" s="49" t="s">
        <v>116</v>
      </c>
      <c r="E61" s="140" t="s">
        <v>161</v>
      </c>
      <c r="F61" s="49" t="s">
        <v>129</v>
      </c>
      <c r="G61" s="97"/>
      <c r="H61" s="84"/>
      <c r="I61" s="264">
        <v>94.5</v>
      </c>
      <c r="J61" s="319">
        <v>35.1</v>
      </c>
      <c r="K61" s="263">
        <f t="shared" si="0"/>
        <v>37.142857142857146</v>
      </c>
    </row>
    <row r="62" spans="1:11" ht="155.25" customHeight="1">
      <c r="A62" s="16" t="s">
        <v>162</v>
      </c>
      <c r="B62" s="37">
        <v>503</v>
      </c>
      <c r="C62" s="98" t="s">
        <v>8</v>
      </c>
      <c r="D62" s="98" t="s">
        <v>116</v>
      </c>
      <c r="E62" s="98" t="s">
        <v>249</v>
      </c>
      <c r="F62" s="98" t="s">
        <v>7</v>
      </c>
      <c r="G62" s="97"/>
      <c r="H62" s="84"/>
      <c r="I62" s="264">
        <f>I63+I64</f>
        <v>114.9</v>
      </c>
      <c r="J62" s="264">
        <f>J63+J64</f>
        <v>57.9</v>
      </c>
      <c r="K62" s="263">
        <f t="shared" si="0"/>
        <v>50.391644908616186</v>
      </c>
    </row>
    <row r="63" spans="1:11" ht="25.5" customHeight="1">
      <c r="A63" s="212" t="s">
        <v>133</v>
      </c>
      <c r="B63" s="37">
        <v>503</v>
      </c>
      <c r="C63" s="98" t="s">
        <v>8</v>
      </c>
      <c r="D63" s="98" t="s">
        <v>116</v>
      </c>
      <c r="E63" s="98" t="s">
        <v>249</v>
      </c>
      <c r="F63" s="98" t="s">
        <v>127</v>
      </c>
      <c r="G63" s="97"/>
      <c r="H63" s="84"/>
      <c r="I63" s="264">
        <v>97.9</v>
      </c>
      <c r="J63" s="319">
        <v>52.4</v>
      </c>
      <c r="K63" s="263">
        <f t="shared" si="0"/>
        <v>53.524004085801835</v>
      </c>
    </row>
    <row r="64" spans="1:11" ht="40.5" customHeight="1">
      <c r="A64" s="121" t="s">
        <v>142</v>
      </c>
      <c r="B64" s="37">
        <v>503</v>
      </c>
      <c r="C64" s="98" t="s">
        <v>8</v>
      </c>
      <c r="D64" s="98" t="s">
        <v>116</v>
      </c>
      <c r="E64" s="98" t="s">
        <v>249</v>
      </c>
      <c r="F64" s="98" t="s">
        <v>129</v>
      </c>
      <c r="G64" s="97"/>
      <c r="H64" s="84"/>
      <c r="I64" s="264">
        <v>17</v>
      </c>
      <c r="J64" s="319">
        <v>5.5</v>
      </c>
      <c r="K64" s="263">
        <f t="shared" si="0"/>
        <v>32.35294117647059</v>
      </c>
    </row>
    <row r="65" spans="1:11" ht="123.75" customHeight="1">
      <c r="A65" s="141" t="s">
        <v>163</v>
      </c>
      <c r="B65" s="37">
        <v>503</v>
      </c>
      <c r="C65" s="98" t="s">
        <v>8</v>
      </c>
      <c r="D65" s="98" t="s">
        <v>116</v>
      </c>
      <c r="E65" s="142" t="s">
        <v>164</v>
      </c>
      <c r="F65" s="98" t="s">
        <v>7</v>
      </c>
      <c r="G65" s="97"/>
      <c r="H65" s="84"/>
      <c r="I65" s="264">
        <f>I66+I67</f>
        <v>266</v>
      </c>
      <c r="J65" s="264">
        <f>J66+J67</f>
        <v>198.5</v>
      </c>
      <c r="K65" s="263">
        <f t="shared" si="0"/>
        <v>74.62406015037594</v>
      </c>
    </row>
    <row r="66" spans="1:11" ht="34.5" customHeight="1">
      <c r="A66" s="212" t="s">
        <v>133</v>
      </c>
      <c r="B66" s="37">
        <v>503</v>
      </c>
      <c r="C66" s="98" t="s">
        <v>8</v>
      </c>
      <c r="D66" s="98" t="s">
        <v>116</v>
      </c>
      <c r="E66" s="142" t="s">
        <v>164</v>
      </c>
      <c r="F66" s="49" t="s">
        <v>127</v>
      </c>
      <c r="G66" s="97"/>
      <c r="H66" s="84"/>
      <c r="I66" s="264">
        <v>259.6</v>
      </c>
      <c r="J66" s="319">
        <v>198.5</v>
      </c>
      <c r="K66" s="263">
        <f t="shared" si="0"/>
        <v>76.46379044684129</v>
      </c>
    </row>
    <row r="67" spans="1:11" ht="37.5" customHeight="1">
      <c r="A67" s="121" t="s">
        <v>142</v>
      </c>
      <c r="B67" s="37">
        <v>503</v>
      </c>
      <c r="C67" s="98" t="s">
        <v>8</v>
      </c>
      <c r="D67" s="98" t="s">
        <v>116</v>
      </c>
      <c r="E67" s="142" t="s">
        <v>164</v>
      </c>
      <c r="F67" s="49" t="s">
        <v>129</v>
      </c>
      <c r="G67" s="97"/>
      <c r="H67" s="84"/>
      <c r="I67" s="264">
        <v>6.4</v>
      </c>
      <c r="J67" s="317">
        <v>0</v>
      </c>
      <c r="K67" s="263">
        <f t="shared" si="0"/>
        <v>0</v>
      </c>
    </row>
    <row r="68" spans="1:11" ht="151.5" customHeight="1">
      <c r="A68" s="143" t="s">
        <v>165</v>
      </c>
      <c r="B68" s="37">
        <v>503</v>
      </c>
      <c r="C68" s="98" t="s">
        <v>8</v>
      </c>
      <c r="D68" s="98" t="s">
        <v>116</v>
      </c>
      <c r="E68" s="144" t="s">
        <v>166</v>
      </c>
      <c r="F68" s="98" t="s">
        <v>7</v>
      </c>
      <c r="G68" s="97"/>
      <c r="H68" s="84"/>
      <c r="I68" s="264">
        <f>I69+I70</f>
        <v>7.5</v>
      </c>
      <c r="J68" s="264">
        <f>J69+J70</f>
        <v>5.1000000000000005</v>
      </c>
      <c r="K68" s="263">
        <f t="shared" si="0"/>
        <v>68</v>
      </c>
    </row>
    <row r="69" spans="1:11" ht="25.5" customHeight="1">
      <c r="A69" s="212" t="s">
        <v>133</v>
      </c>
      <c r="B69" s="37">
        <v>503</v>
      </c>
      <c r="C69" s="98" t="s">
        <v>8</v>
      </c>
      <c r="D69" s="98" t="s">
        <v>116</v>
      </c>
      <c r="E69" s="144" t="s">
        <v>167</v>
      </c>
      <c r="F69" s="98" t="s">
        <v>127</v>
      </c>
      <c r="G69" s="97"/>
      <c r="H69" s="84"/>
      <c r="I69" s="264">
        <f>12-5.2</f>
        <v>6.8</v>
      </c>
      <c r="J69" s="319">
        <v>4.7</v>
      </c>
      <c r="K69" s="263">
        <f t="shared" si="0"/>
        <v>69.11764705882354</v>
      </c>
    </row>
    <row r="70" spans="1:11" ht="35.25" customHeight="1">
      <c r="A70" s="121" t="s">
        <v>170</v>
      </c>
      <c r="B70" s="37">
        <v>503</v>
      </c>
      <c r="C70" s="98" t="s">
        <v>8</v>
      </c>
      <c r="D70" s="98" t="s">
        <v>116</v>
      </c>
      <c r="E70" s="144" t="s">
        <v>166</v>
      </c>
      <c r="F70" s="98" t="s">
        <v>129</v>
      </c>
      <c r="G70" s="97"/>
      <c r="H70" s="84"/>
      <c r="I70" s="264">
        <v>0.7</v>
      </c>
      <c r="J70" s="319">
        <v>0.4</v>
      </c>
      <c r="K70" s="263">
        <f t="shared" si="0"/>
        <v>57.14285714285715</v>
      </c>
    </row>
    <row r="71" spans="1:11" ht="33" customHeight="1">
      <c r="A71" s="209" t="s">
        <v>117</v>
      </c>
      <c r="B71" s="86">
        <v>503</v>
      </c>
      <c r="C71" s="88" t="s">
        <v>24</v>
      </c>
      <c r="D71" s="88" t="s">
        <v>16</v>
      </c>
      <c r="E71" s="88" t="s">
        <v>29</v>
      </c>
      <c r="F71" s="88" t="s">
        <v>7</v>
      </c>
      <c r="G71" s="42">
        <f>G76</f>
        <v>0</v>
      </c>
      <c r="H71" s="42">
        <f>H76</f>
        <v>26</v>
      </c>
      <c r="I71" s="263">
        <f>I72+I76</f>
        <v>474.5</v>
      </c>
      <c r="J71" s="263">
        <f>J72+J76</f>
        <v>302.2</v>
      </c>
      <c r="K71" s="263">
        <f t="shared" si="0"/>
        <v>63.68809272918862</v>
      </c>
    </row>
    <row r="72" spans="1:11" ht="33" customHeight="1">
      <c r="A72" s="209" t="s">
        <v>168</v>
      </c>
      <c r="B72" s="107">
        <v>503</v>
      </c>
      <c r="C72" s="29" t="s">
        <v>24</v>
      </c>
      <c r="D72" s="29" t="s">
        <v>15</v>
      </c>
      <c r="E72" s="29" t="s">
        <v>29</v>
      </c>
      <c r="F72" s="29" t="s">
        <v>7</v>
      </c>
      <c r="G72" s="42"/>
      <c r="H72" s="42"/>
      <c r="I72" s="263">
        <f>I73</f>
        <v>424.5</v>
      </c>
      <c r="J72" s="263">
        <f>J73</f>
        <v>302.2</v>
      </c>
      <c r="K72" s="263">
        <f t="shared" si="0"/>
        <v>71.18963486454652</v>
      </c>
    </row>
    <row r="73" spans="1:11" ht="45.75" customHeight="1">
      <c r="A73" s="157" t="s">
        <v>169</v>
      </c>
      <c r="B73" s="107">
        <v>503</v>
      </c>
      <c r="C73" s="29" t="s">
        <v>24</v>
      </c>
      <c r="D73" s="29" t="s">
        <v>15</v>
      </c>
      <c r="E73" s="29" t="s">
        <v>107</v>
      </c>
      <c r="F73" s="29" t="s">
        <v>7</v>
      </c>
      <c r="G73" s="42"/>
      <c r="H73" s="42"/>
      <c r="I73" s="263">
        <f>I74+I75</f>
        <v>424.5</v>
      </c>
      <c r="J73" s="263">
        <f>J74+J75</f>
        <v>302.2</v>
      </c>
      <c r="K73" s="263">
        <f t="shared" si="0"/>
        <v>71.18963486454652</v>
      </c>
    </row>
    <row r="74" spans="1:11" ht="29.25" customHeight="1">
      <c r="A74" s="212" t="s">
        <v>133</v>
      </c>
      <c r="B74" s="89">
        <v>503</v>
      </c>
      <c r="C74" s="32" t="s">
        <v>24</v>
      </c>
      <c r="D74" s="32" t="s">
        <v>15</v>
      </c>
      <c r="E74" s="32" t="s">
        <v>107</v>
      </c>
      <c r="F74" s="32" t="s">
        <v>127</v>
      </c>
      <c r="G74" s="42"/>
      <c r="H74" s="42"/>
      <c r="I74" s="264">
        <v>402</v>
      </c>
      <c r="J74" s="320">
        <v>282.2</v>
      </c>
      <c r="K74" s="263">
        <f t="shared" si="0"/>
        <v>70.19900497512438</v>
      </c>
    </row>
    <row r="75" spans="1:11" ht="39.75" customHeight="1">
      <c r="A75" s="121" t="s">
        <v>170</v>
      </c>
      <c r="B75" s="89">
        <v>503</v>
      </c>
      <c r="C75" s="32" t="s">
        <v>24</v>
      </c>
      <c r="D75" s="32" t="s">
        <v>15</v>
      </c>
      <c r="E75" s="32" t="s">
        <v>107</v>
      </c>
      <c r="F75" s="98" t="s">
        <v>129</v>
      </c>
      <c r="G75" s="42"/>
      <c r="H75" s="42"/>
      <c r="I75" s="264">
        <v>22.5</v>
      </c>
      <c r="J75" s="320">
        <v>20</v>
      </c>
      <c r="K75" s="263">
        <f t="shared" si="0"/>
        <v>88.88888888888889</v>
      </c>
    </row>
    <row r="76" spans="1:11" ht="66" customHeight="1">
      <c r="A76" s="208" t="s">
        <v>90</v>
      </c>
      <c r="B76" s="104">
        <v>503</v>
      </c>
      <c r="C76" s="21" t="s">
        <v>24</v>
      </c>
      <c r="D76" s="21" t="s">
        <v>22</v>
      </c>
      <c r="E76" s="21" t="s">
        <v>29</v>
      </c>
      <c r="F76" s="21" t="s">
        <v>7</v>
      </c>
      <c r="G76" s="287"/>
      <c r="H76" s="287">
        <f aca="true" t="shared" si="2" ref="H76:J78">H77</f>
        <v>26</v>
      </c>
      <c r="I76" s="263">
        <f t="shared" si="2"/>
        <v>50</v>
      </c>
      <c r="J76" s="263">
        <f t="shared" si="2"/>
        <v>0</v>
      </c>
      <c r="K76" s="263">
        <f t="shared" si="0"/>
        <v>0</v>
      </c>
    </row>
    <row r="77" spans="1:11" ht="48" customHeight="1">
      <c r="A77" s="204" t="s">
        <v>32</v>
      </c>
      <c r="B77" s="87">
        <v>503</v>
      </c>
      <c r="C77" s="49" t="s">
        <v>24</v>
      </c>
      <c r="D77" s="49" t="s">
        <v>22</v>
      </c>
      <c r="E77" s="49" t="s">
        <v>250</v>
      </c>
      <c r="F77" s="49" t="s">
        <v>7</v>
      </c>
      <c r="G77" s="35"/>
      <c r="H77" s="35">
        <f t="shared" si="2"/>
        <v>26</v>
      </c>
      <c r="I77" s="264">
        <f t="shared" si="2"/>
        <v>50</v>
      </c>
      <c r="J77" s="264">
        <f t="shared" si="2"/>
        <v>0</v>
      </c>
      <c r="K77" s="263">
        <f t="shared" si="0"/>
        <v>0</v>
      </c>
    </row>
    <row r="78" spans="1:11" ht="59.25" customHeight="1">
      <c r="A78" s="204" t="s">
        <v>33</v>
      </c>
      <c r="B78" s="87">
        <v>503</v>
      </c>
      <c r="C78" s="49" t="s">
        <v>24</v>
      </c>
      <c r="D78" s="49" t="s">
        <v>22</v>
      </c>
      <c r="E78" s="49" t="s">
        <v>251</v>
      </c>
      <c r="F78" s="49" t="s">
        <v>7</v>
      </c>
      <c r="G78" s="23"/>
      <c r="H78" s="23">
        <f t="shared" si="2"/>
        <v>26</v>
      </c>
      <c r="I78" s="264">
        <f t="shared" si="2"/>
        <v>50</v>
      </c>
      <c r="J78" s="264">
        <f t="shared" si="2"/>
        <v>0</v>
      </c>
      <c r="K78" s="263">
        <f t="shared" si="0"/>
        <v>0</v>
      </c>
    </row>
    <row r="79" spans="1:11" ht="37.5" customHeight="1">
      <c r="A79" s="121" t="s">
        <v>142</v>
      </c>
      <c r="B79" s="87">
        <v>503</v>
      </c>
      <c r="C79" s="49" t="s">
        <v>24</v>
      </c>
      <c r="D79" s="49" t="s">
        <v>22</v>
      </c>
      <c r="E79" s="49" t="s">
        <v>251</v>
      </c>
      <c r="F79" s="49" t="s">
        <v>129</v>
      </c>
      <c r="G79" s="23"/>
      <c r="H79" s="23">
        <v>26</v>
      </c>
      <c r="I79" s="264">
        <v>50</v>
      </c>
      <c r="J79" s="23"/>
      <c r="K79" s="263">
        <f t="shared" si="0"/>
        <v>0</v>
      </c>
    </row>
    <row r="80" spans="1:11" ht="27" customHeight="1">
      <c r="A80" s="208" t="s">
        <v>50</v>
      </c>
      <c r="B80" s="107">
        <v>503</v>
      </c>
      <c r="C80" s="29" t="s">
        <v>15</v>
      </c>
      <c r="D80" s="29" t="s">
        <v>16</v>
      </c>
      <c r="E80" s="29" t="s">
        <v>29</v>
      </c>
      <c r="F80" s="29" t="s">
        <v>7</v>
      </c>
      <c r="G80" s="46">
        <f>G87</f>
        <v>0</v>
      </c>
      <c r="H80" s="46" t="e">
        <f>H87</f>
        <v>#REF!</v>
      </c>
      <c r="I80" s="263">
        <f>I87+I84</f>
        <v>1015.7</v>
      </c>
      <c r="J80" s="263">
        <f>J87+J84</f>
        <v>296.6</v>
      </c>
      <c r="K80" s="263">
        <f aca="true" t="shared" si="3" ref="K80:K143">J80/I80*100</f>
        <v>29.201535886580682</v>
      </c>
    </row>
    <row r="81" spans="1:11" ht="18" customHeight="1" hidden="1">
      <c r="A81" s="204" t="s">
        <v>98</v>
      </c>
      <c r="B81" s="107">
        <v>503</v>
      </c>
      <c r="C81" s="29" t="s">
        <v>15</v>
      </c>
      <c r="D81" s="29" t="s">
        <v>9</v>
      </c>
      <c r="E81" s="29" t="s">
        <v>55</v>
      </c>
      <c r="F81" s="29" t="s">
        <v>7</v>
      </c>
      <c r="G81" s="46"/>
      <c r="H81" s="46"/>
      <c r="I81" s="263">
        <f>I82</f>
        <v>0</v>
      </c>
      <c r="J81" s="46"/>
      <c r="K81" s="263" t="e">
        <f t="shared" si="3"/>
        <v>#DIV/0!</v>
      </c>
    </row>
    <row r="82" spans="1:11" ht="54" customHeight="1" hidden="1">
      <c r="A82" s="210" t="s">
        <v>97</v>
      </c>
      <c r="B82" s="107">
        <v>503</v>
      </c>
      <c r="C82" s="32" t="s">
        <v>15</v>
      </c>
      <c r="D82" s="32" t="s">
        <v>9</v>
      </c>
      <c r="E82" s="32" t="s">
        <v>114</v>
      </c>
      <c r="F82" s="32" t="s">
        <v>7</v>
      </c>
      <c r="G82" s="46"/>
      <c r="H82" s="46"/>
      <c r="I82" s="264">
        <f>I83</f>
        <v>0</v>
      </c>
      <c r="J82" s="46"/>
      <c r="K82" s="263" t="e">
        <f t="shared" si="3"/>
        <v>#DIV/0!</v>
      </c>
    </row>
    <row r="83" spans="1:11" ht="52.5" customHeight="1" hidden="1">
      <c r="A83" s="211" t="s">
        <v>115</v>
      </c>
      <c r="B83" s="107">
        <v>503</v>
      </c>
      <c r="C83" s="29" t="s">
        <v>15</v>
      </c>
      <c r="D83" s="29" t="s">
        <v>9</v>
      </c>
      <c r="E83" s="29" t="s">
        <v>114</v>
      </c>
      <c r="F83" s="29" t="s">
        <v>108</v>
      </c>
      <c r="G83" s="46"/>
      <c r="H83" s="46"/>
      <c r="I83" s="264"/>
      <c r="J83" s="46"/>
      <c r="K83" s="263" t="e">
        <f t="shared" si="3"/>
        <v>#DIV/0!</v>
      </c>
    </row>
    <row r="84" spans="1:11" ht="26.25" customHeight="1">
      <c r="A84" s="213" t="s">
        <v>171</v>
      </c>
      <c r="B84" s="107">
        <v>503</v>
      </c>
      <c r="C84" s="29" t="s">
        <v>15</v>
      </c>
      <c r="D84" s="29" t="s">
        <v>45</v>
      </c>
      <c r="E84" s="29" t="s">
        <v>29</v>
      </c>
      <c r="F84" s="29" t="s">
        <v>7</v>
      </c>
      <c r="G84" s="46"/>
      <c r="H84" s="46"/>
      <c r="I84" s="264">
        <f>I85</f>
        <v>41.1</v>
      </c>
      <c r="J84" s="264">
        <f>J85</f>
        <v>0</v>
      </c>
      <c r="K84" s="263">
        <f t="shared" si="3"/>
        <v>0</v>
      </c>
    </row>
    <row r="85" spans="1:11" ht="75" customHeight="1">
      <c r="A85" s="5" t="s">
        <v>172</v>
      </c>
      <c r="B85" s="108" t="s">
        <v>49</v>
      </c>
      <c r="C85" s="32" t="s">
        <v>15</v>
      </c>
      <c r="D85" s="32" t="s">
        <v>45</v>
      </c>
      <c r="E85" s="98" t="s">
        <v>252</v>
      </c>
      <c r="F85" s="32" t="s">
        <v>7</v>
      </c>
      <c r="G85" s="46"/>
      <c r="H85" s="46"/>
      <c r="I85" s="264">
        <f>I86</f>
        <v>41.1</v>
      </c>
      <c r="J85" s="264">
        <f>J86</f>
        <v>0</v>
      </c>
      <c r="K85" s="263">
        <f t="shared" si="3"/>
        <v>0</v>
      </c>
    </row>
    <row r="86" spans="1:11" ht="35.25" customHeight="1">
      <c r="A86" s="121" t="s">
        <v>142</v>
      </c>
      <c r="B86" s="108" t="s">
        <v>49</v>
      </c>
      <c r="C86" s="32" t="s">
        <v>15</v>
      </c>
      <c r="D86" s="32" t="s">
        <v>45</v>
      </c>
      <c r="E86" s="98" t="s">
        <v>252</v>
      </c>
      <c r="F86" s="32" t="s">
        <v>129</v>
      </c>
      <c r="G86" s="46"/>
      <c r="H86" s="46"/>
      <c r="I86" s="264">
        <v>41.1</v>
      </c>
      <c r="J86" s="46"/>
      <c r="K86" s="263">
        <f t="shared" si="3"/>
        <v>0</v>
      </c>
    </row>
    <row r="87" spans="1:11" ht="28.5" customHeight="1">
      <c r="A87" s="208" t="s">
        <v>101</v>
      </c>
      <c r="B87" s="107">
        <v>503</v>
      </c>
      <c r="C87" s="29" t="s">
        <v>15</v>
      </c>
      <c r="D87" s="29" t="s">
        <v>54</v>
      </c>
      <c r="E87" s="29" t="s">
        <v>29</v>
      </c>
      <c r="F87" s="214" t="s">
        <v>7</v>
      </c>
      <c r="G87" s="47"/>
      <c r="H87" s="47" t="e">
        <f>#REF!+#REF!+H90</f>
        <v>#REF!</v>
      </c>
      <c r="I87" s="263">
        <f>I88+I90</f>
        <v>974.6</v>
      </c>
      <c r="J87" s="263">
        <f>J88+J90</f>
        <v>296.6</v>
      </c>
      <c r="K87" s="263">
        <f t="shared" si="3"/>
        <v>30.432998153088448</v>
      </c>
    </row>
    <row r="88" spans="1:11" ht="51.75" customHeight="1">
      <c r="A88" s="204" t="s">
        <v>102</v>
      </c>
      <c r="B88" s="87">
        <v>503</v>
      </c>
      <c r="C88" s="49" t="s">
        <v>15</v>
      </c>
      <c r="D88" s="49" t="s">
        <v>54</v>
      </c>
      <c r="E88" s="241" t="s">
        <v>275</v>
      </c>
      <c r="F88" s="50" t="s">
        <v>7</v>
      </c>
      <c r="G88" s="47"/>
      <c r="H88" s="47"/>
      <c r="I88" s="264">
        <f>I89</f>
        <v>824.6</v>
      </c>
      <c r="J88" s="264">
        <f>J89</f>
        <v>261.6</v>
      </c>
      <c r="K88" s="263">
        <f t="shared" si="3"/>
        <v>31.724472471501336</v>
      </c>
    </row>
    <row r="89" spans="1:11" ht="28.5" customHeight="1">
      <c r="A89" s="204" t="s">
        <v>85</v>
      </c>
      <c r="B89" s="87">
        <v>503</v>
      </c>
      <c r="C89" s="49" t="s">
        <v>15</v>
      </c>
      <c r="D89" s="49" t="s">
        <v>54</v>
      </c>
      <c r="E89" s="241" t="s">
        <v>275</v>
      </c>
      <c r="F89" s="50" t="s">
        <v>271</v>
      </c>
      <c r="G89" s="47"/>
      <c r="H89" s="47"/>
      <c r="I89" s="264">
        <v>824.6</v>
      </c>
      <c r="J89" s="318">
        <v>261.6</v>
      </c>
      <c r="K89" s="263">
        <f t="shared" si="3"/>
        <v>31.724472471501336</v>
      </c>
    </row>
    <row r="90" spans="1:11" ht="47.25" customHeight="1">
      <c r="A90" s="204" t="s">
        <v>269</v>
      </c>
      <c r="B90" s="87">
        <v>503</v>
      </c>
      <c r="C90" s="49" t="s">
        <v>15</v>
      </c>
      <c r="D90" s="49" t="s">
        <v>54</v>
      </c>
      <c r="E90" s="51" t="s">
        <v>220</v>
      </c>
      <c r="F90" s="49" t="s">
        <v>7</v>
      </c>
      <c r="G90" s="46"/>
      <c r="H90" s="46" t="e">
        <f>#REF!</f>
        <v>#REF!</v>
      </c>
      <c r="I90" s="264">
        <f>I91</f>
        <v>150</v>
      </c>
      <c r="J90" s="264">
        <f>J91</f>
        <v>35</v>
      </c>
      <c r="K90" s="263">
        <f t="shared" si="3"/>
        <v>23.333333333333332</v>
      </c>
    </row>
    <row r="91" spans="1:11" ht="30.75" customHeight="1">
      <c r="A91" s="204" t="s">
        <v>85</v>
      </c>
      <c r="B91" s="87">
        <v>503</v>
      </c>
      <c r="C91" s="49" t="s">
        <v>15</v>
      </c>
      <c r="D91" s="49" t="s">
        <v>54</v>
      </c>
      <c r="E91" s="51" t="s">
        <v>220</v>
      </c>
      <c r="F91" s="49" t="s">
        <v>271</v>
      </c>
      <c r="G91" s="47"/>
      <c r="H91" s="47">
        <v>50</v>
      </c>
      <c r="I91" s="264">
        <v>150</v>
      </c>
      <c r="J91" s="318">
        <v>35</v>
      </c>
      <c r="K91" s="263">
        <f t="shared" si="3"/>
        <v>23.333333333333332</v>
      </c>
    </row>
    <row r="92" spans="1:11" ht="27" customHeight="1">
      <c r="A92" s="208" t="s">
        <v>94</v>
      </c>
      <c r="B92" s="104">
        <v>503</v>
      </c>
      <c r="C92" s="21" t="s">
        <v>45</v>
      </c>
      <c r="D92" s="21" t="s">
        <v>16</v>
      </c>
      <c r="E92" s="179" t="s">
        <v>29</v>
      </c>
      <c r="F92" s="21" t="s">
        <v>7</v>
      </c>
      <c r="G92" s="46"/>
      <c r="H92" s="46"/>
      <c r="I92" s="263">
        <f>I93+I96</f>
        <v>159</v>
      </c>
      <c r="J92" s="263">
        <f>J93+J96</f>
        <v>0</v>
      </c>
      <c r="K92" s="263">
        <f t="shared" si="3"/>
        <v>0</v>
      </c>
    </row>
    <row r="93" spans="1:11" ht="27" customHeight="1">
      <c r="A93" s="208" t="s">
        <v>92</v>
      </c>
      <c r="B93" s="104">
        <v>503</v>
      </c>
      <c r="C93" s="21" t="s">
        <v>45</v>
      </c>
      <c r="D93" s="21" t="s">
        <v>10</v>
      </c>
      <c r="E93" s="179" t="s">
        <v>29</v>
      </c>
      <c r="F93" s="21" t="s">
        <v>7</v>
      </c>
      <c r="G93" s="46"/>
      <c r="H93" s="46"/>
      <c r="I93" s="263">
        <f>I94</f>
        <v>150</v>
      </c>
      <c r="J93" s="263">
        <f>J94</f>
        <v>0</v>
      </c>
      <c r="K93" s="263">
        <f t="shared" si="3"/>
        <v>0</v>
      </c>
    </row>
    <row r="94" spans="1:11" ht="30.75" customHeight="1">
      <c r="A94" s="204" t="s">
        <v>51</v>
      </c>
      <c r="B94" s="87">
        <v>503</v>
      </c>
      <c r="C94" s="49" t="s">
        <v>45</v>
      </c>
      <c r="D94" s="49" t="s">
        <v>10</v>
      </c>
      <c r="E94" s="51" t="s">
        <v>276</v>
      </c>
      <c r="F94" s="49" t="s">
        <v>7</v>
      </c>
      <c r="G94" s="47"/>
      <c r="H94" s="47"/>
      <c r="I94" s="270">
        <f>I95</f>
        <v>150</v>
      </c>
      <c r="J94" s="270">
        <f>J95</f>
        <v>0</v>
      </c>
      <c r="K94" s="263">
        <f t="shared" si="3"/>
        <v>0</v>
      </c>
    </row>
    <row r="95" spans="1:11" ht="34.5" customHeight="1">
      <c r="A95" s="121" t="s">
        <v>142</v>
      </c>
      <c r="B95" s="87">
        <v>503</v>
      </c>
      <c r="C95" s="49" t="s">
        <v>45</v>
      </c>
      <c r="D95" s="49" t="s">
        <v>10</v>
      </c>
      <c r="E95" s="51" t="s">
        <v>276</v>
      </c>
      <c r="F95" s="49" t="s">
        <v>129</v>
      </c>
      <c r="G95" s="47"/>
      <c r="H95" s="47"/>
      <c r="I95" s="270">
        <v>150</v>
      </c>
      <c r="J95" s="270">
        <v>0</v>
      </c>
      <c r="K95" s="263">
        <f t="shared" si="3"/>
        <v>0</v>
      </c>
    </row>
    <row r="96" spans="1:11" ht="35.25" customHeight="1">
      <c r="A96" s="208" t="s">
        <v>222</v>
      </c>
      <c r="B96" s="104">
        <v>503</v>
      </c>
      <c r="C96" s="21" t="s">
        <v>45</v>
      </c>
      <c r="D96" s="21" t="s">
        <v>45</v>
      </c>
      <c r="E96" s="179" t="s">
        <v>29</v>
      </c>
      <c r="F96" s="21" t="s">
        <v>7</v>
      </c>
      <c r="G96" s="46"/>
      <c r="H96" s="46"/>
      <c r="I96" s="263">
        <f>I97</f>
        <v>9</v>
      </c>
      <c r="J96" s="263">
        <f>J97</f>
        <v>0</v>
      </c>
      <c r="K96" s="263">
        <f t="shared" si="3"/>
        <v>0</v>
      </c>
    </row>
    <row r="97" spans="1:11" ht="74.25" customHeight="1">
      <c r="A97" s="204" t="s">
        <v>223</v>
      </c>
      <c r="B97" s="87">
        <v>503</v>
      </c>
      <c r="C97" s="49" t="s">
        <v>45</v>
      </c>
      <c r="D97" s="49" t="s">
        <v>45</v>
      </c>
      <c r="E97" s="51" t="s">
        <v>224</v>
      </c>
      <c r="F97" s="49" t="s">
        <v>7</v>
      </c>
      <c r="G97" s="46"/>
      <c r="H97" s="46"/>
      <c r="I97" s="264">
        <f>I98</f>
        <v>9</v>
      </c>
      <c r="J97" s="264">
        <f>J98</f>
        <v>0</v>
      </c>
      <c r="K97" s="263">
        <f t="shared" si="3"/>
        <v>0</v>
      </c>
    </row>
    <row r="98" spans="1:11" ht="36.75" customHeight="1">
      <c r="A98" s="121" t="s">
        <v>142</v>
      </c>
      <c r="B98" s="87">
        <v>503</v>
      </c>
      <c r="C98" s="49" t="s">
        <v>45</v>
      </c>
      <c r="D98" s="49" t="s">
        <v>45</v>
      </c>
      <c r="E98" s="51" t="s">
        <v>224</v>
      </c>
      <c r="F98" s="51" t="s">
        <v>129</v>
      </c>
      <c r="G98" s="23"/>
      <c r="H98" s="23"/>
      <c r="I98" s="270">
        <v>9</v>
      </c>
      <c r="J98" s="314">
        <v>0</v>
      </c>
      <c r="K98" s="263">
        <f t="shared" si="3"/>
        <v>0</v>
      </c>
    </row>
    <row r="99" spans="1:11" ht="29.25" customHeight="1">
      <c r="A99" s="217" t="s">
        <v>12</v>
      </c>
      <c r="B99" s="102" t="s">
        <v>49</v>
      </c>
      <c r="C99" s="102" t="s">
        <v>11</v>
      </c>
      <c r="D99" s="102" t="s">
        <v>16</v>
      </c>
      <c r="E99" s="179" t="s">
        <v>29</v>
      </c>
      <c r="F99" s="180" t="s">
        <v>7</v>
      </c>
      <c r="G99" s="181"/>
      <c r="H99" s="181"/>
      <c r="I99" s="263">
        <f aca="true" t="shared" si="4" ref="I99:J101">I100</f>
        <v>50.4</v>
      </c>
      <c r="J99" s="263">
        <f t="shared" si="4"/>
        <v>50.4</v>
      </c>
      <c r="K99" s="263">
        <f t="shared" si="3"/>
        <v>100</v>
      </c>
    </row>
    <row r="100" spans="1:11" ht="36.75" customHeight="1">
      <c r="A100" s="157" t="s">
        <v>27</v>
      </c>
      <c r="B100" s="50" t="s">
        <v>49</v>
      </c>
      <c r="C100" s="50" t="s">
        <v>11</v>
      </c>
      <c r="D100" s="50" t="s">
        <v>11</v>
      </c>
      <c r="E100" s="51" t="s">
        <v>29</v>
      </c>
      <c r="F100" s="52" t="s">
        <v>7</v>
      </c>
      <c r="G100" s="23"/>
      <c r="H100" s="23"/>
      <c r="I100" s="264">
        <f t="shared" si="4"/>
        <v>50.4</v>
      </c>
      <c r="J100" s="264">
        <f t="shared" si="4"/>
        <v>50.4</v>
      </c>
      <c r="K100" s="263">
        <f t="shared" si="3"/>
        <v>100</v>
      </c>
    </row>
    <row r="101" spans="1:11" ht="31.5" customHeight="1">
      <c r="A101" s="204" t="s">
        <v>0</v>
      </c>
      <c r="B101" s="50" t="s">
        <v>49</v>
      </c>
      <c r="C101" s="50" t="s">
        <v>11</v>
      </c>
      <c r="D101" s="50" t="s">
        <v>11</v>
      </c>
      <c r="E101" s="51" t="s">
        <v>220</v>
      </c>
      <c r="F101" s="52" t="s">
        <v>7</v>
      </c>
      <c r="G101" s="23"/>
      <c r="H101" s="23"/>
      <c r="I101" s="264">
        <f t="shared" si="4"/>
        <v>50.4</v>
      </c>
      <c r="J101" s="264">
        <f t="shared" si="4"/>
        <v>50.4</v>
      </c>
      <c r="K101" s="263">
        <f t="shared" si="3"/>
        <v>100</v>
      </c>
    </row>
    <row r="102" spans="1:11" ht="40.5" customHeight="1">
      <c r="A102" s="121" t="s">
        <v>142</v>
      </c>
      <c r="B102" s="50" t="s">
        <v>49</v>
      </c>
      <c r="C102" s="50" t="s">
        <v>11</v>
      </c>
      <c r="D102" s="50" t="s">
        <v>11</v>
      </c>
      <c r="E102" s="51" t="s">
        <v>220</v>
      </c>
      <c r="F102" s="52" t="s">
        <v>129</v>
      </c>
      <c r="G102" s="23"/>
      <c r="H102" s="23"/>
      <c r="I102" s="264">
        <v>50.4</v>
      </c>
      <c r="J102" s="264">
        <v>50.4</v>
      </c>
      <c r="K102" s="263">
        <f t="shared" si="3"/>
        <v>100</v>
      </c>
    </row>
    <row r="103" spans="1:11" ht="23.25" customHeight="1">
      <c r="A103" s="216" t="s">
        <v>120</v>
      </c>
      <c r="B103" s="115" t="s">
        <v>49</v>
      </c>
      <c r="C103" s="67" t="s">
        <v>22</v>
      </c>
      <c r="D103" s="67" t="s">
        <v>16</v>
      </c>
      <c r="E103" s="67" t="s">
        <v>29</v>
      </c>
      <c r="F103" s="67" t="s">
        <v>7</v>
      </c>
      <c r="G103" s="23"/>
      <c r="H103" s="23"/>
      <c r="I103" s="263">
        <f aca="true" t="shared" si="5" ref="I103:J105">I104</f>
        <v>204.7</v>
      </c>
      <c r="J103" s="263">
        <f t="shared" si="5"/>
        <v>204.7</v>
      </c>
      <c r="K103" s="263">
        <f t="shared" si="3"/>
        <v>100</v>
      </c>
    </row>
    <row r="104" spans="1:11" ht="30" customHeight="1">
      <c r="A104" s="204" t="s">
        <v>122</v>
      </c>
      <c r="B104" s="50" t="s">
        <v>49</v>
      </c>
      <c r="C104" s="50" t="s">
        <v>22</v>
      </c>
      <c r="D104" s="50" t="s">
        <v>22</v>
      </c>
      <c r="E104" s="51" t="s">
        <v>29</v>
      </c>
      <c r="F104" s="52" t="s">
        <v>7</v>
      </c>
      <c r="G104" s="23"/>
      <c r="H104" s="23"/>
      <c r="I104" s="264">
        <f t="shared" si="5"/>
        <v>204.7</v>
      </c>
      <c r="J104" s="264">
        <f t="shared" si="5"/>
        <v>204.7</v>
      </c>
      <c r="K104" s="263">
        <f t="shared" si="3"/>
        <v>100</v>
      </c>
    </row>
    <row r="105" spans="1:11" ht="41.25" customHeight="1">
      <c r="A105" s="204" t="s">
        <v>152</v>
      </c>
      <c r="B105" s="50" t="s">
        <v>151</v>
      </c>
      <c r="C105" s="50" t="s">
        <v>22</v>
      </c>
      <c r="D105" s="50" t="s">
        <v>22</v>
      </c>
      <c r="E105" s="51" t="s">
        <v>253</v>
      </c>
      <c r="F105" s="52" t="s">
        <v>7</v>
      </c>
      <c r="G105" s="23"/>
      <c r="H105" s="23"/>
      <c r="I105" s="264">
        <f t="shared" si="5"/>
        <v>204.7</v>
      </c>
      <c r="J105" s="264">
        <f t="shared" si="5"/>
        <v>204.7</v>
      </c>
      <c r="K105" s="263">
        <f t="shared" si="3"/>
        <v>100</v>
      </c>
    </row>
    <row r="106" spans="1:11" ht="34.5" customHeight="1">
      <c r="A106" s="121" t="s">
        <v>142</v>
      </c>
      <c r="B106" s="50" t="s">
        <v>151</v>
      </c>
      <c r="C106" s="50" t="s">
        <v>22</v>
      </c>
      <c r="D106" s="50" t="s">
        <v>22</v>
      </c>
      <c r="E106" s="51" t="s">
        <v>253</v>
      </c>
      <c r="F106" s="52" t="s">
        <v>129</v>
      </c>
      <c r="G106" s="23"/>
      <c r="H106" s="23"/>
      <c r="I106" s="264">
        <f>200+4.7</f>
        <v>204.7</v>
      </c>
      <c r="J106" s="264">
        <v>204.7</v>
      </c>
      <c r="K106" s="263">
        <f t="shared" si="3"/>
        <v>100</v>
      </c>
    </row>
    <row r="107" spans="1:11" ht="23.25" customHeight="1">
      <c r="A107" s="215" t="s">
        <v>40</v>
      </c>
      <c r="B107" s="189" t="s">
        <v>49</v>
      </c>
      <c r="C107" s="190" t="s">
        <v>23</v>
      </c>
      <c r="D107" s="190" t="s">
        <v>16</v>
      </c>
      <c r="E107" s="190" t="s">
        <v>29</v>
      </c>
      <c r="F107" s="191" t="s">
        <v>7</v>
      </c>
      <c r="G107" s="192" t="e">
        <f>G108+G112</f>
        <v>#REF!</v>
      </c>
      <c r="H107" s="192" t="e">
        <f>H108+H112</f>
        <v>#REF!</v>
      </c>
      <c r="I107" s="263">
        <f>I108+I112</f>
        <v>9080.137</v>
      </c>
      <c r="J107" s="263">
        <f>J108+J112</f>
        <v>8454</v>
      </c>
      <c r="K107" s="263">
        <f t="shared" si="3"/>
        <v>93.10432210439114</v>
      </c>
    </row>
    <row r="108" spans="1:11" ht="26.25" customHeight="1">
      <c r="A108" s="215" t="s">
        <v>43</v>
      </c>
      <c r="B108" s="243" t="s">
        <v>49</v>
      </c>
      <c r="C108" s="244" t="s">
        <v>23</v>
      </c>
      <c r="D108" s="244" t="s">
        <v>8</v>
      </c>
      <c r="E108" s="244" t="s">
        <v>29</v>
      </c>
      <c r="F108" s="245" t="s">
        <v>7</v>
      </c>
      <c r="G108" s="54">
        <f aca="true" t="shared" si="6" ref="G108:H110">G109</f>
        <v>0</v>
      </c>
      <c r="H108" s="54">
        <f t="shared" si="6"/>
        <v>60</v>
      </c>
      <c r="I108" s="263">
        <f aca="true" t="shared" si="7" ref="I108:J110">I109</f>
        <v>1250.4</v>
      </c>
      <c r="J108" s="263">
        <f t="shared" si="7"/>
        <v>1065.8</v>
      </c>
      <c r="K108" s="263">
        <f t="shared" si="3"/>
        <v>85.23672424824056</v>
      </c>
    </row>
    <row r="109" spans="1:11" ht="33" customHeight="1">
      <c r="A109" s="218" t="s">
        <v>73</v>
      </c>
      <c r="B109" s="110" t="s">
        <v>49</v>
      </c>
      <c r="C109" s="55" t="s">
        <v>23</v>
      </c>
      <c r="D109" s="55" t="s">
        <v>8</v>
      </c>
      <c r="E109" s="55" t="s">
        <v>74</v>
      </c>
      <c r="F109" s="52" t="s">
        <v>7</v>
      </c>
      <c r="G109" s="56">
        <f t="shared" si="6"/>
        <v>0</v>
      </c>
      <c r="H109" s="56">
        <f t="shared" si="6"/>
        <v>60</v>
      </c>
      <c r="I109" s="264">
        <f t="shared" si="7"/>
        <v>1250.4</v>
      </c>
      <c r="J109" s="264">
        <f t="shared" si="7"/>
        <v>1065.8</v>
      </c>
      <c r="K109" s="263">
        <f t="shared" si="3"/>
        <v>85.23672424824056</v>
      </c>
    </row>
    <row r="110" spans="1:11" ht="31.5" customHeight="1">
      <c r="A110" s="218" t="s">
        <v>75</v>
      </c>
      <c r="B110" s="110" t="s">
        <v>49</v>
      </c>
      <c r="C110" s="55" t="s">
        <v>23</v>
      </c>
      <c r="D110" s="55" t="s">
        <v>8</v>
      </c>
      <c r="E110" s="55" t="s">
        <v>76</v>
      </c>
      <c r="F110" s="52" t="s">
        <v>7</v>
      </c>
      <c r="G110" s="56">
        <f t="shared" si="6"/>
        <v>0</v>
      </c>
      <c r="H110" s="56">
        <f t="shared" si="6"/>
        <v>60</v>
      </c>
      <c r="I110" s="264">
        <f t="shared" si="7"/>
        <v>1250.4</v>
      </c>
      <c r="J110" s="264">
        <f t="shared" si="7"/>
        <v>1065.8</v>
      </c>
      <c r="K110" s="263">
        <f t="shared" si="3"/>
        <v>85.23672424824056</v>
      </c>
    </row>
    <row r="111" spans="1:11" ht="25.5" customHeight="1">
      <c r="A111" s="212" t="s">
        <v>140</v>
      </c>
      <c r="B111" s="110" t="s">
        <v>49</v>
      </c>
      <c r="C111" s="55" t="s">
        <v>23</v>
      </c>
      <c r="D111" s="55" t="s">
        <v>8</v>
      </c>
      <c r="E111" s="55" t="s">
        <v>76</v>
      </c>
      <c r="F111" s="52" t="s">
        <v>139</v>
      </c>
      <c r="G111" s="56"/>
      <c r="H111" s="56">
        <v>60</v>
      </c>
      <c r="I111" s="264">
        <v>1250.4</v>
      </c>
      <c r="J111" s="264">
        <v>1065.8</v>
      </c>
      <c r="K111" s="263">
        <f t="shared" si="3"/>
        <v>85.23672424824056</v>
      </c>
    </row>
    <row r="112" spans="1:11" ht="25.5" customHeight="1">
      <c r="A112" s="215" t="s">
        <v>41</v>
      </c>
      <c r="B112" s="243" t="s">
        <v>49</v>
      </c>
      <c r="C112" s="244" t="s">
        <v>23</v>
      </c>
      <c r="D112" s="244" t="s">
        <v>24</v>
      </c>
      <c r="E112" s="244" t="s">
        <v>29</v>
      </c>
      <c r="F112" s="245" t="s">
        <v>7</v>
      </c>
      <c r="G112" s="57" t="e">
        <f>G120</f>
        <v>#REF!</v>
      </c>
      <c r="H112" s="57" t="e">
        <f>H120</f>
        <v>#REF!</v>
      </c>
      <c r="I112" s="263">
        <f>I120+I124+I115+I113</f>
        <v>7829.737</v>
      </c>
      <c r="J112" s="263">
        <f>J120+J124+J115+J113</f>
        <v>7388.2</v>
      </c>
      <c r="K112" s="263">
        <f t="shared" si="3"/>
        <v>94.36076843960404</v>
      </c>
    </row>
    <row r="113" spans="1:11" ht="30.75" customHeight="1">
      <c r="A113" s="212" t="s">
        <v>86</v>
      </c>
      <c r="B113" s="110" t="s">
        <v>49</v>
      </c>
      <c r="C113" s="55" t="s">
        <v>23</v>
      </c>
      <c r="D113" s="55" t="s">
        <v>24</v>
      </c>
      <c r="E113" s="55" t="s">
        <v>103</v>
      </c>
      <c r="F113" s="52" t="s">
        <v>7</v>
      </c>
      <c r="G113" s="56"/>
      <c r="H113" s="56"/>
      <c r="I113" s="264">
        <f>I114</f>
        <v>35</v>
      </c>
      <c r="J113" s="264">
        <f>J114</f>
        <v>35</v>
      </c>
      <c r="K113" s="263">
        <f t="shared" si="3"/>
        <v>100</v>
      </c>
    </row>
    <row r="114" spans="1:11" ht="29.25" customHeight="1">
      <c r="A114" s="212" t="s">
        <v>146</v>
      </c>
      <c r="B114" s="110" t="s">
        <v>49</v>
      </c>
      <c r="C114" s="55" t="s">
        <v>23</v>
      </c>
      <c r="D114" s="55" t="s">
        <v>24</v>
      </c>
      <c r="E114" s="55" t="s">
        <v>103</v>
      </c>
      <c r="F114" s="52" t="s">
        <v>134</v>
      </c>
      <c r="G114" s="56"/>
      <c r="H114" s="56"/>
      <c r="I114" s="264">
        <f>30+5</f>
        <v>35</v>
      </c>
      <c r="J114" s="264">
        <v>35</v>
      </c>
      <c r="K114" s="263">
        <f t="shared" si="3"/>
        <v>100</v>
      </c>
    </row>
    <row r="115" spans="1:11" ht="34.5" customHeight="1">
      <c r="A115" s="157" t="s">
        <v>175</v>
      </c>
      <c r="B115" s="110" t="s">
        <v>49</v>
      </c>
      <c r="C115" s="55" t="s">
        <v>23</v>
      </c>
      <c r="D115" s="55" t="s">
        <v>24</v>
      </c>
      <c r="E115" s="55" t="s">
        <v>254</v>
      </c>
      <c r="F115" s="52" t="s">
        <v>7</v>
      </c>
      <c r="G115" s="57"/>
      <c r="H115" s="57"/>
      <c r="I115" s="263">
        <f>I117+I119</f>
        <v>4563.504</v>
      </c>
      <c r="J115" s="263">
        <f>J117+J119</f>
        <v>4541.7</v>
      </c>
      <c r="K115" s="263">
        <f t="shared" si="3"/>
        <v>99.52220924973442</v>
      </c>
    </row>
    <row r="116" spans="1:11" ht="61.5" customHeight="1">
      <c r="A116" s="204" t="s">
        <v>174</v>
      </c>
      <c r="B116" s="145">
        <v>503</v>
      </c>
      <c r="C116" s="146" t="s">
        <v>23</v>
      </c>
      <c r="D116" s="146" t="s">
        <v>24</v>
      </c>
      <c r="E116" s="146" t="s">
        <v>255</v>
      </c>
      <c r="F116" s="146" t="s">
        <v>7</v>
      </c>
      <c r="G116" s="57"/>
      <c r="H116" s="57"/>
      <c r="I116" s="270">
        <f>I117</f>
        <v>1148.523</v>
      </c>
      <c r="J116" s="270">
        <f>J117</f>
        <v>1148.5</v>
      </c>
      <c r="K116" s="263">
        <f t="shared" si="3"/>
        <v>99.99799742800101</v>
      </c>
    </row>
    <row r="117" spans="1:11" ht="48" customHeight="1">
      <c r="A117" s="230" t="s">
        <v>226</v>
      </c>
      <c r="B117" s="250">
        <v>503</v>
      </c>
      <c r="C117" s="251" t="s">
        <v>23</v>
      </c>
      <c r="D117" s="251" t="s">
        <v>24</v>
      </c>
      <c r="E117" s="251" t="s">
        <v>255</v>
      </c>
      <c r="F117" s="252" t="s">
        <v>225</v>
      </c>
      <c r="G117" s="57"/>
      <c r="H117" s="57"/>
      <c r="I117" s="270">
        <v>1148.523</v>
      </c>
      <c r="J117" s="270">
        <v>1148.5</v>
      </c>
      <c r="K117" s="263">
        <f t="shared" si="3"/>
        <v>99.99799742800101</v>
      </c>
    </row>
    <row r="118" spans="1:11" ht="63.75" customHeight="1">
      <c r="A118" s="204" t="s">
        <v>277</v>
      </c>
      <c r="B118" s="147">
        <v>503</v>
      </c>
      <c r="C118" s="146" t="s">
        <v>23</v>
      </c>
      <c r="D118" s="146" t="s">
        <v>24</v>
      </c>
      <c r="E118" s="146" t="s">
        <v>278</v>
      </c>
      <c r="F118" s="252" t="s">
        <v>7</v>
      </c>
      <c r="G118" s="57"/>
      <c r="H118" s="57"/>
      <c r="I118" s="270">
        <f>I119</f>
        <v>3414.981</v>
      </c>
      <c r="J118" s="270">
        <f>J119</f>
        <v>3393.2</v>
      </c>
      <c r="K118" s="263">
        <f t="shared" si="3"/>
        <v>99.36219264470284</v>
      </c>
    </row>
    <row r="119" spans="1:11" ht="51.75" customHeight="1">
      <c r="A119" s="230" t="s">
        <v>226</v>
      </c>
      <c r="B119" s="147">
        <v>503</v>
      </c>
      <c r="C119" s="146" t="s">
        <v>23</v>
      </c>
      <c r="D119" s="146" t="s">
        <v>24</v>
      </c>
      <c r="E119" s="146" t="s">
        <v>278</v>
      </c>
      <c r="F119" s="148" t="s">
        <v>225</v>
      </c>
      <c r="G119" s="57"/>
      <c r="H119" s="57"/>
      <c r="I119" s="270">
        <f>118+1705.673+1563.408+27.9</f>
        <v>3414.981</v>
      </c>
      <c r="J119" s="321">
        <v>3393.2</v>
      </c>
      <c r="K119" s="263">
        <f t="shared" si="3"/>
        <v>99.36219264470284</v>
      </c>
    </row>
    <row r="120" spans="1:11" ht="25.5" customHeight="1">
      <c r="A120" s="229" t="s">
        <v>83</v>
      </c>
      <c r="B120" s="110" t="s">
        <v>49</v>
      </c>
      <c r="C120" s="55" t="s">
        <v>23</v>
      </c>
      <c r="D120" s="55" t="s">
        <v>24</v>
      </c>
      <c r="E120" s="55" t="s">
        <v>198</v>
      </c>
      <c r="F120" s="52" t="s">
        <v>7</v>
      </c>
      <c r="G120" s="56" t="e">
        <f>G121</f>
        <v>#REF!</v>
      </c>
      <c r="H120" s="56" t="e">
        <f>H121</f>
        <v>#REF!</v>
      </c>
      <c r="I120" s="270">
        <f>I121</f>
        <v>540</v>
      </c>
      <c r="J120" s="270">
        <f>J121</f>
        <v>159.2</v>
      </c>
      <c r="K120" s="263">
        <f t="shared" si="3"/>
        <v>29.48148148148148</v>
      </c>
    </row>
    <row r="121" spans="1:11" ht="30.75" customHeight="1">
      <c r="A121" s="218" t="s">
        <v>25</v>
      </c>
      <c r="B121" s="110" t="s">
        <v>49</v>
      </c>
      <c r="C121" s="55" t="s">
        <v>23</v>
      </c>
      <c r="D121" s="55" t="s">
        <v>24</v>
      </c>
      <c r="E121" s="55" t="s">
        <v>256</v>
      </c>
      <c r="F121" s="52" t="s">
        <v>7</v>
      </c>
      <c r="G121" s="56" t="e">
        <f>#REF!+#REF!</f>
        <v>#REF!</v>
      </c>
      <c r="H121" s="56" t="e">
        <f>#REF!</f>
        <v>#REF!</v>
      </c>
      <c r="I121" s="270">
        <f>I122+I123</f>
        <v>540</v>
      </c>
      <c r="J121" s="270">
        <f>J122+J123</f>
        <v>159.2</v>
      </c>
      <c r="K121" s="263">
        <f t="shared" si="3"/>
        <v>29.48148148148148</v>
      </c>
    </row>
    <row r="122" spans="1:11" ht="37.5" customHeight="1">
      <c r="A122" s="121" t="s">
        <v>142</v>
      </c>
      <c r="B122" s="110" t="s">
        <v>49</v>
      </c>
      <c r="C122" s="55" t="s">
        <v>23</v>
      </c>
      <c r="D122" s="55" t="s">
        <v>24</v>
      </c>
      <c r="E122" s="55" t="s">
        <v>256</v>
      </c>
      <c r="F122" s="51" t="s">
        <v>129</v>
      </c>
      <c r="G122" s="56"/>
      <c r="H122" s="56"/>
      <c r="I122" s="270">
        <v>80</v>
      </c>
      <c r="J122" s="270">
        <v>32.5</v>
      </c>
      <c r="K122" s="263">
        <f t="shared" si="3"/>
        <v>40.625</v>
      </c>
    </row>
    <row r="123" spans="1:11" ht="42.75" customHeight="1">
      <c r="A123" s="204" t="s">
        <v>273</v>
      </c>
      <c r="B123" s="110" t="s">
        <v>49</v>
      </c>
      <c r="C123" s="55" t="s">
        <v>23</v>
      </c>
      <c r="D123" s="55" t="s">
        <v>24</v>
      </c>
      <c r="E123" s="55" t="s">
        <v>256</v>
      </c>
      <c r="F123" s="51" t="s">
        <v>274</v>
      </c>
      <c r="G123" s="56"/>
      <c r="H123" s="56"/>
      <c r="I123" s="270">
        <v>460</v>
      </c>
      <c r="J123" s="270">
        <v>126.7</v>
      </c>
      <c r="K123" s="263">
        <f t="shared" si="3"/>
        <v>27.543478260869563</v>
      </c>
    </row>
    <row r="124" spans="1:11" ht="28.5" customHeight="1">
      <c r="A124" s="208" t="s">
        <v>153</v>
      </c>
      <c r="B124" s="246" t="s">
        <v>49</v>
      </c>
      <c r="C124" s="247" t="s">
        <v>23</v>
      </c>
      <c r="D124" s="247" t="s">
        <v>24</v>
      </c>
      <c r="E124" s="247" t="s">
        <v>257</v>
      </c>
      <c r="F124" s="180" t="s">
        <v>7</v>
      </c>
      <c r="G124" s="248"/>
      <c r="H124" s="248"/>
      <c r="I124" s="263">
        <f>I125</f>
        <v>2691.233</v>
      </c>
      <c r="J124" s="263">
        <f>J125</f>
        <v>2652.3</v>
      </c>
      <c r="K124" s="263">
        <f t="shared" si="3"/>
        <v>98.5533396773895</v>
      </c>
    </row>
    <row r="125" spans="1:11" ht="45" customHeight="1">
      <c r="A125" s="218" t="s">
        <v>143</v>
      </c>
      <c r="B125" s="110" t="s">
        <v>49</v>
      </c>
      <c r="C125" s="55" t="s">
        <v>23</v>
      </c>
      <c r="D125" s="55" t="s">
        <v>24</v>
      </c>
      <c r="E125" s="55" t="s">
        <v>267</v>
      </c>
      <c r="F125" s="52" t="s">
        <v>7</v>
      </c>
      <c r="G125" s="56"/>
      <c r="H125" s="56"/>
      <c r="I125" s="270">
        <f>I127+I130</f>
        <v>2691.233</v>
      </c>
      <c r="J125" s="270">
        <f>J127+J130</f>
        <v>2652.3</v>
      </c>
      <c r="K125" s="263">
        <f t="shared" si="3"/>
        <v>98.5533396773895</v>
      </c>
    </row>
    <row r="126" spans="1:11" ht="66.75" customHeight="1">
      <c r="A126" s="16" t="s">
        <v>268</v>
      </c>
      <c r="B126" s="110" t="s">
        <v>49</v>
      </c>
      <c r="C126" s="55" t="s">
        <v>23</v>
      </c>
      <c r="D126" s="55" t="s">
        <v>24</v>
      </c>
      <c r="E126" s="55" t="s">
        <v>227</v>
      </c>
      <c r="F126" s="52" t="s">
        <v>7</v>
      </c>
      <c r="G126" s="56"/>
      <c r="H126" s="56"/>
      <c r="I126" s="270">
        <f>I127</f>
        <v>976.722</v>
      </c>
      <c r="J126" s="270">
        <f>J127</f>
        <v>965.5</v>
      </c>
      <c r="K126" s="263">
        <f t="shared" si="3"/>
        <v>98.85105485491266</v>
      </c>
    </row>
    <row r="127" spans="1:11" ht="61.5" customHeight="1">
      <c r="A127" s="204" t="s">
        <v>226</v>
      </c>
      <c r="B127" s="110" t="s">
        <v>49</v>
      </c>
      <c r="C127" s="55" t="s">
        <v>23</v>
      </c>
      <c r="D127" s="55" t="s">
        <v>24</v>
      </c>
      <c r="E127" s="55" t="s">
        <v>227</v>
      </c>
      <c r="F127" s="52" t="s">
        <v>225</v>
      </c>
      <c r="G127" s="56"/>
      <c r="H127" s="56"/>
      <c r="I127" s="270">
        <f>1830+80-973.578+40.3</f>
        <v>976.722</v>
      </c>
      <c r="J127" s="270">
        <v>965.5</v>
      </c>
      <c r="K127" s="263">
        <f t="shared" si="3"/>
        <v>98.85105485491266</v>
      </c>
    </row>
    <row r="128" spans="1:11" ht="69" customHeight="1">
      <c r="A128" s="16" t="s">
        <v>241</v>
      </c>
      <c r="B128" s="110" t="s">
        <v>49</v>
      </c>
      <c r="C128" s="55" t="s">
        <v>23</v>
      </c>
      <c r="D128" s="55" t="s">
        <v>24</v>
      </c>
      <c r="E128" s="55" t="s">
        <v>227</v>
      </c>
      <c r="F128" s="52" t="s">
        <v>225</v>
      </c>
      <c r="G128" s="56"/>
      <c r="H128" s="56"/>
      <c r="I128" s="270">
        <f>80-27.7</f>
        <v>52.3</v>
      </c>
      <c r="J128" s="56"/>
      <c r="K128" s="263">
        <f t="shared" si="3"/>
        <v>0</v>
      </c>
    </row>
    <row r="129" spans="1:11" ht="69" customHeight="1">
      <c r="A129" s="139" t="s">
        <v>174</v>
      </c>
      <c r="B129" s="193" t="s">
        <v>49</v>
      </c>
      <c r="C129" s="169" t="s">
        <v>23</v>
      </c>
      <c r="D129" s="169" t="s">
        <v>24</v>
      </c>
      <c r="E129" s="169" t="s">
        <v>242</v>
      </c>
      <c r="F129" s="194" t="s">
        <v>7</v>
      </c>
      <c r="G129" s="195"/>
      <c r="H129" s="195"/>
      <c r="I129" s="270">
        <f>I130</f>
        <v>1714.511</v>
      </c>
      <c r="J129" s="270">
        <f>J130</f>
        <v>1686.8</v>
      </c>
      <c r="K129" s="263">
        <f t="shared" si="3"/>
        <v>98.38373740384284</v>
      </c>
    </row>
    <row r="130" spans="1:11" ht="52.5" customHeight="1">
      <c r="A130" s="230" t="s">
        <v>265</v>
      </c>
      <c r="B130" s="193" t="s">
        <v>49</v>
      </c>
      <c r="C130" s="169" t="s">
        <v>23</v>
      </c>
      <c r="D130" s="169" t="s">
        <v>24</v>
      </c>
      <c r="E130" s="169" t="s">
        <v>242</v>
      </c>
      <c r="F130" s="194" t="s">
        <v>225</v>
      </c>
      <c r="G130" s="195"/>
      <c r="H130" s="195"/>
      <c r="I130" s="270">
        <f>1567.411+147.1</f>
        <v>1714.511</v>
      </c>
      <c r="J130" s="270">
        <v>1686.8</v>
      </c>
      <c r="K130" s="263">
        <f t="shared" si="3"/>
        <v>98.38373740384284</v>
      </c>
    </row>
    <row r="131" spans="1:11" ht="86.25" customHeight="1">
      <c r="A131" s="139" t="s">
        <v>295</v>
      </c>
      <c r="B131" s="193" t="s">
        <v>49</v>
      </c>
      <c r="C131" s="169" t="s">
        <v>23</v>
      </c>
      <c r="D131" s="169" t="s">
        <v>24</v>
      </c>
      <c r="E131" s="169" t="s">
        <v>242</v>
      </c>
      <c r="F131" s="194" t="s">
        <v>225</v>
      </c>
      <c r="G131" s="195"/>
      <c r="H131" s="195"/>
      <c r="I131" s="270">
        <v>27.7</v>
      </c>
      <c r="J131" s="195"/>
      <c r="K131" s="263">
        <f t="shared" si="3"/>
        <v>0</v>
      </c>
    </row>
    <row r="132" spans="1:11" ht="30" customHeight="1">
      <c r="A132" s="231" t="s">
        <v>118</v>
      </c>
      <c r="B132" s="109" t="s">
        <v>49</v>
      </c>
      <c r="C132" s="90" t="s">
        <v>54</v>
      </c>
      <c r="D132" s="90" t="s">
        <v>16</v>
      </c>
      <c r="E132" s="90" t="s">
        <v>29</v>
      </c>
      <c r="F132" s="93" t="s">
        <v>7</v>
      </c>
      <c r="G132" s="56"/>
      <c r="H132" s="56"/>
      <c r="I132" s="263">
        <f aca="true" t="shared" si="8" ref="I132:J134">I133</f>
        <v>90</v>
      </c>
      <c r="J132" s="263">
        <f t="shared" si="8"/>
        <v>69.7</v>
      </c>
      <c r="K132" s="263">
        <f t="shared" si="3"/>
        <v>77.44444444444444</v>
      </c>
    </row>
    <row r="133" spans="1:11" ht="30" customHeight="1">
      <c r="A133" s="208" t="s">
        <v>99</v>
      </c>
      <c r="B133" s="50" t="s">
        <v>49</v>
      </c>
      <c r="C133" s="85" t="s">
        <v>54</v>
      </c>
      <c r="D133" s="49" t="s">
        <v>10</v>
      </c>
      <c r="E133" s="49" t="s">
        <v>29</v>
      </c>
      <c r="F133" s="51" t="s">
        <v>7</v>
      </c>
      <c r="G133" s="56"/>
      <c r="H133" s="56"/>
      <c r="I133" s="264">
        <f t="shared" si="8"/>
        <v>90</v>
      </c>
      <c r="J133" s="264">
        <f t="shared" si="8"/>
        <v>69.7</v>
      </c>
      <c r="K133" s="263">
        <f t="shared" si="3"/>
        <v>77.44444444444444</v>
      </c>
    </row>
    <row r="134" spans="1:11" ht="53.25" customHeight="1">
      <c r="A134" s="204" t="s">
        <v>100</v>
      </c>
      <c r="B134" s="50" t="s">
        <v>49</v>
      </c>
      <c r="C134" s="85" t="s">
        <v>54</v>
      </c>
      <c r="D134" s="49" t="s">
        <v>10</v>
      </c>
      <c r="E134" s="49" t="s">
        <v>258</v>
      </c>
      <c r="F134" s="51" t="s">
        <v>7</v>
      </c>
      <c r="G134" s="56"/>
      <c r="H134" s="56"/>
      <c r="I134" s="264">
        <f t="shared" si="8"/>
        <v>90</v>
      </c>
      <c r="J134" s="264">
        <f t="shared" si="8"/>
        <v>69.7</v>
      </c>
      <c r="K134" s="263">
        <f t="shared" si="3"/>
        <v>77.44444444444444</v>
      </c>
    </row>
    <row r="135" spans="1:11" ht="39" customHeight="1">
      <c r="A135" s="121" t="s">
        <v>142</v>
      </c>
      <c r="B135" s="50" t="s">
        <v>49</v>
      </c>
      <c r="C135" s="85" t="s">
        <v>54</v>
      </c>
      <c r="D135" s="49" t="s">
        <v>10</v>
      </c>
      <c r="E135" s="49" t="s">
        <v>258</v>
      </c>
      <c r="F135" s="51" t="s">
        <v>129</v>
      </c>
      <c r="G135" s="56"/>
      <c r="H135" s="56"/>
      <c r="I135" s="264">
        <f>100-10</f>
        <v>90</v>
      </c>
      <c r="J135" s="264">
        <v>69.7</v>
      </c>
      <c r="K135" s="263">
        <f t="shared" si="3"/>
        <v>77.44444444444444</v>
      </c>
    </row>
    <row r="136" spans="1:11" ht="51" customHeight="1">
      <c r="A136" s="205" t="s">
        <v>123</v>
      </c>
      <c r="B136" s="133" t="s">
        <v>91</v>
      </c>
      <c r="C136" s="134" t="s">
        <v>16</v>
      </c>
      <c r="D136" s="134" t="s">
        <v>16</v>
      </c>
      <c r="E136" s="134" t="s">
        <v>29</v>
      </c>
      <c r="F136" s="134" t="s">
        <v>7</v>
      </c>
      <c r="G136" s="135" t="e">
        <f>G137+G161+#REF!</f>
        <v>#REF!</v>
      </c>
      <c r="H136" s="135" t="e">
        <f>H137+H161+#REF!</f>
        <v>#REF!</v>
      </c>
      <c r="I136" s="263">
        <f>I137+I147+I158+I161+I144+I152</f>
        <v>32223.93</v>
      </c>
      <c r="J136" s="263">
        <f>J137+J147+J158+J161+J144+J152</f>
        <v>14755.3</v>
      </c>
      <c r="K136" s="263">
        <f t="shared" si="3"/>
        <v>45.78988348100309</v>
      </c>
    </row>
    <row r="137" spans="1:11" ht="59.25" customHeight="1">
      <c r="A137" s="219" t="s">
        <v>104</v>
      </c>
      <c r="B137" s="105" t="s">
        <v>91</v>
      </c>
      <c r="C137" s="29" t="s">
        <v>8</v>
      </c>
      <c r="D137" s="29" t="s">
        <v>9</v>
      </c>
      <c r="E137" s="29" t="s">
        <v>29</v>
      </c>
      <c r="F137" s="29" t="s">
        <v>7</v>
      </c>
      <c r="G137" s="46" t="e">
        <f aca="true" t="shared" si="9" ref="G137:J138">G138</f>
        <v>#REF!</v>
      </c>
      <c r="H137" s="46" t="e">
        <f t="shared" si="9"/>
        <v>#REF!</v>
      </c>
      <c r="I137" s="263">
        <f t="shared" si="9"/>
        <v>2556.5</v>
      </c>
      <c r="J137" s="263">
        <f t="shared" si="9"/>
        <v>1903.5</v>
      </c>
      <c r="K137" s="263">
        <f t="shared" si="3"/>
        <v>74.45726579307647</v>
      </c>
    </row>
    <row r="138" spans="1:11" ht="77.25" customHeight="1">
      <c r="A138" s="220" t="s">
        <v>59</v>
      </c>
      <c r="B138" s="99">
        <v>528</v>
      </c>
      <c r="C138" s="12" t="s">
        <v>8</v>
      </c>
      <c r="D138" s="12" t="s">
        <v>9</v>
      </c>
      <c r="E138" s="100" t="s">
        <v>65</v>
      </c>
      <c r="F138" s="12" t="s">
        <v>7</v>
      </c>
      <c r="G138" s="45" t="e">
        <f t="shared" si="9"/>
        <v>#REF!</v>
      </c>
      <c r="H138" s="45" t="e">
        <f t="shared" si="9"/>
        <v>#REF!</v>
      </c>
      <c r="I138" s="265">
        <f t="shared" si="9"/>
        <v>2556.5</v>
      </c>
      <c r="J138" s="265">
        <f t="shared" si="9"/>
        <v>1903.5</v>
      </c>
      <c r="K138" s="263">
        <f t="shared" si="3"/>
        <v>74.45726579307647</v>
      </c>
    </row>
    <row r="139" spans="1:11" ht="19.5" customHeight="1">
      <c r="A139" s="220" t="s">
        <v>18</v>
      </c>
      <c r="B139" s="99">
        <v>528</v>
      </c>
      <c r="C139" s="12" t="s">
        <v>8</v>
      </c>
      <c r="D139" s="12" t="s">
        <v>9</v>
      </c>
      <c r="E139" s="100" t="s">
        <v>66</v>
      </c>
      <c r="F139" s="12" t="s">
        <v>7</v>
      </c>
      <c r="G139" s="45" t="e">
        <f>#REF!</f>
        <v>#REF!</v>
      </c>
      <c r="H139" s="45" t="e">
        <f>#REF!</f>
        <v>#REF!</v>
      </c>
      <c r="I139" s="265">
        <f>I140+I141+I142+I143</f>
        <v>2556.5</v>
      </c>
      <c r="J139" s="265">
        <f>J140+J141+J142+J143</f>
        <v>1903.5</v>
      </c>
      <c r="K139" s="263">
        <f t="shared" si="3"/>
        <v>74.45726579307647</v>
      </c>
    </row>
    <row r="140" spans="1:11" ht="27" customHeight="1">
      <c r="A140" s="212" t="s">
        <v>133</v>
      </c>
      <c r="B140" s="99">
        <v>528</v>
      </c>
      <c r="C140" s="12" t="s">
        <v>8</v>
      </c>
      <c r="D140" s="12" t="s">
        <v>9</v>
      </c>
      <c r="E140" s="100" t="s">
        <v>66</v>
      </c>
      <c r="F140" s="100" t="s">
        <v>127</v>
      </c>
      <c r="G140" s="45"/>
      <c r="H140" s="45"/>
      <c r="I140" s="265">
        <v>2225.3</v>
      </c>
      <c r="J140" s="314">
        <v>1679.7</v>
      </c>
      <c r="K140" s="263">
        <f t="shared" si="3"/>
        <v>75.48195748887791</v>
      </c>
    </row>
    <row r="141" spans="1:11" ht="33" customHeight="1">
      <c r="A141" s="228" t="s">
        <v>142</v>
      </c>
      <c r="B141" s="196">
        <v>528</v>
      </c>
      <c r="C141" s="201" t="s">
        <v>8</v>
      </c>
      <c r="D141" s="201" t="s">
        <v>9</v>
      </c>
      <c r="E141" s="137" t="s">
        <v>66</v>
      </c>
      <c r="F141" s="137" t="s">
        <v>129</v>
      </c>
      <c r="G141" s="197"/>
      <c r="H141" s="197"/>
      <c r="I141" s="270">
        <f>277.2-18</f>
        <v>259.2</v>
      </c>
      <c r="J141" s="322">
        <v>152.6</v>
      </c>
      <c r="K141" s="263">
        <f t="shared" si="3"/>
        <v>58.873456790123456</v>
      </c>
    </row>
    <row r="142" spans="1:11" ht="49.5" customHeight="1">
      <c r="A142" s="121" t="s">
        <v>279</v>
      </c>
      <c r="B142" s="99">
        <v>528</v>
      </c>
      <c r="C142" s="12" t="s">
        <v>8</v>
      </c>
      <c r="D142" s="12" t="s">
        <v>9</v>
      </c>
      <c r="E142" s="100" t="s">
        <v>66</v>
      </c>
      <c r="F142" s="100" t="s">
        <v>225</v>
      </c>
      <c r="G142" s="47"/>
      <c r="H142" s="47"/>
      <c r="I142" s="264">
        <f>78-8</f>
        <v>70</v>
      </c>
      <c r="J142" s="318">
        <v>69.7</v>
      </c>
      <c r="K142" s="263">
        <f t="shared" si="3"/>
        <v>99.57142857142858</v>
      </c>
    </row>
    <row r="143" spans="1:11" ht="39.75" customHeight="1">
      <c r="A143" s="212" t="s">
        <v>131</v>
      </c>
      <c r="B143" s="37">
        <v>528</v>
      </c>
      <c r="C143" s="49" t="s">
        <v>8</v>
      </c>
      <c r="D143" s="49" t="s">
        <v>9</v>
      </c>
      <c r="E143" s="49" t="s">
        <v>66</v>
      </c>
      <c r="F143" s="49" t="s">
        <v>130</v>
      </c>
      <c r="G143" s="47"/>
      <c r="H143" s="47"/>
      <c r="I143" s="264">
        <f>6-4</f>
        <v>2</v>
      </c>
      <c r="J143" s="318">
        <v>1.5</v>
      </c>
      <c r="K143" s="263">
        <f t="shared" si="3"/>
        <v>75</v>
      </c>
    </row>
    <row r="144" spans="1:11" ht="27.75" customHeight="1">
      <c r="A144" s="6" t="s">
        <v>19</v>
      </c>
      <c r="B144" s="38">
        <v>528</v>
      </c>
      <c r="C144" s="21" t="s">
        <v>8</v>
      </c>
      <c r="D144" s="21" t="s">
        <v>116</v>
      </c>
      <c r="E144" s="21" t="s">
        <v>29</v>
      </c>
      <c r="F144" s="21" t="s">
        <v>7</v>
      </c>
      <c r="G144" s="46"/>
      <c r="H144" s="46"/>
      <c r="I144" s="263">
        <f>I145</f>
        <v>892</v>
      </c>
      <c r="J144" s="263">
        <f>J145</f>
        <v>259.2</v>
      </c>
      <c r="K144" s="263">
        <f aca="true" t="shared" si="10" ref="K144:K207">J144/I144*100</f>
        <v>29.05829596412556</v>
      </c>
    </row>
    <row r="145" spans="1:16" ht="34.5" customHeight="1">
      <c r="A145" s="221" t="s">
        <v>243</v>
      </c>
      <c r="B145" s="196">
        <v>528</v>
      </c>
      <c r="C145" s="140" t="s">
        <v>8</v>
      </c>
      <c r="D145" s="140" t="s">
        <v>116</v>
      </c>
      <c r="E145" s="140" t="s">
        <v>220</v>
      </c>
      <c r="F145" s="140" t="s">
        <v>7</v>
      </c>
      <c r="G145" s="197"/>
      <c r="H145" s="197"/>
      <c r="I145" s="270">
        <f>I146</f>
        <v>892</v>
      </c>
      <c r="J145" s="270">
        <f>J146</f>
        <v>259.2</v>
      </c>
      <c r="K145" s="263">
        <f t="shared" si="10"/>
        <v>29.05829596412556</v>
      </c>
      <c r="N145" s="395"/>
      <c r="O145" s="395"/>
      <c r="P145" s="395"/>
    </row>
    <row r="146" spans="1:11" ht="34.5" customHeight="1">
      <c r="A146" s="121" t="s">
        <v>142</v>
      </c>
      <c r="B146" s="37">
        <v>528</v>
      </c>
      <c r="C146" s="49" t="s">
        <v>8</v>
      </c>
      <c r="D146" s="49" t="s">
        <v>116</v>
      </c>
      <c r="E146" s="140" t="s">
        <v>220</v>
      </c>
      <c r="F146" s="49" t="s">
        <v>129</v>
      </c>
      <c r="G146" s="47"/>
      <c r="H146" s="47"/>
      <c r="I146" s="264">
        <v>892</v>
      </c>
      <c r="J146" s="270">
        <v>259.2</v>
      </c>
      <c r="K146" s="263">
        <f t="shared" si="10"/>
        <v>29.05829596412556</v>
      </c>
    </row>
    <row r="147" spans="1:11" ht="28.5" customHeight="1">
      <c r="A147" s="209" t="s">
        <v>176</v>
      </c>
      <c r="B147" s="38">
        <v>528</v>
      </c>
      <c r="C147" s="242" t="s">
        <v>10</v>
      </c>
      <c r="D147" s="242" t="s">
        <v>16</v>
      </c>
      <c r="E147" s="150" t="s">
        <v>29</v>
      </c>
      <c r="F147" s="150" t="s">
        <v>7</v>
      </c>
      <c r="G147" s="46"/>
      <c r="H147" s="46"/>
      <c r="I147" s="263">
        <f aca="true" t="shared" si="11" ref="I147:J150">I148</f>
        <v>299.3</v>
      </c>
      <c r="J147" s="263">
        <f t="shared" si="11"/>
        <v>294.3</v>
      </c>
      <c r="K147" s="263">
        <f t="shared" si="10"/>
        <v>98.32943534914801</v>
      </c>
    </row>
    <row r="148" spans="1:11" ht="30" customHeight="1">
      <c r="A148" s="220" t="s">
        <v>177</v>
      </c>
      <c r="B148" s="37">
        <v>528</v>
      </c>
      <c r="C148" s="149" t="s">
        <v>10</v>
      </c>
      <c r="D148" s="149" t="s">
        <v>24</v>
      </c>
      <c r="E148" s="200" t="s">
        <v>29</v>
      </c>
      <c r="F148" s="151" t="s">
        <v>7</v>
      </c>
      <c r="G148" s="47"/>
      <c r="H148" s="47"/>
      <c r="I148" s="264">
        <f t="shared" si="11"/>
        <v>299.3</v>
      </c>
      <c r="J148" s="264">
        <f t="shared" si="11"/>
        <v>294.3</v>
      </c>
      <c r="K148" s="263">
        <f t="shared" si="10"/>
        <v>98.32943534914801</v>
      </c>
    </row>
    <row r="149" spans="1:11" ht="32.25" customHeight="1">
      <c r="A149" s="220" t="s">
        <v>111</v>
      </c>
      <c r="B149" s="37">
        <v>528</v>
      </c>
      <c r="C149" s="149" t="s">
        <v>10</v>
      </c>
      <c r="D149" s="149" t="s">
        <v>24</v>
      </c>
      <c r="E149" s="149" t="s">
        <v>178</v>
      </c>
      <c r="F149" s="149" t="s">
        <v>7</v>
      </c>
      <c r="G149" s="47"/>
      <c r="H149" s="47"/>
      <c r="I149" s="264">
        <f t="shared" si="11"/>
        <v>299.3</v>
      </c>
      <c r="J149" s="264">
        <f t="shared" si="11"/>
        <v>294.3</v>
      </c>
      <c r="K149" s="263">
        <f t="shared" si="10"/>
        <v>98.32943534914801</v>
      </c>
    </row>
    <row r="150" spans="1:11" ht="54" customHeight="1">
      <c r="A150" s="220" t="s">
        <v>179</v>
      </c>
      <c r="B150" s="37">
        <v>528</v>
      </c>
      <c r="C150" s="149" t="s">
        <v>10</v>
      </c>
      <c r="D150" s="149" t="s">
        <v>24</v>
      </c>
      <c r="E150" s="149" t="s">
        <v>180</v>
      </c>
      <c r="F150" s="149" t="s">
        <v>7</v>
      </c>
      <c r="G150" s="47"/>
      <c r="H150" s="47"/>
      <c r="I150" s="264">
        <f t="shared" si="11"/>
        <v>299.3</v>
      </c>
      <c r="J150" s="264">
        <f t="shared" si="11"/>
        <v>294.3</v>
      </c>
      <c r="K150" s="263">
        <f t="shared" si="10"/>
        <v>98.32943534914801</v>
      </c>
    </row>
    <row r="151" spans="1:11" ht="28.5" customHeight="1">
      <c r="A151" s="204" t="s">
        <v>181</v>
      </c>
      <c r="B151" s="37">
        <v>528</v>
      </c>
      <c r="C151" s="149" t="s">
        <v>10</v>
      </c>
      <c r="D151" s="149" t="s">
        <v>24</v>
      </c>
      <c r="E151" s="149" t="s">
        <v>180</v>
      </c>
      <c r="F151" s="152" t="s">
        <v>182</v>
      </c>
      <c r="G151" s="47"/>
      <c r="H151" s="47"/>
      <c r="I151" s="264">
        <v>299.3</v>
      </c>
      <c r="J151" s="264">
        <v>294.3</v>
      </c>
      <c r="K151" s="263">
        <f t="shared" si="10"/>
        <v>98.32943534914801</v>
      </c>
    </row>
    <row r="152" spans="1:11" ht="28.5" customHeight="1">
      <c r="A152" s="278" t="s">
        <v>50</v>
      </c>
      <c r="B152" s="38">
        <v>528</v>
      </c>
      <c r="C152" s="242" t="s">
        <v>15</v>
      </c>
      <c r="D152" s="242" t="s">
        <v>16</v>
      </c>
      <c r="E152" s="242" t="s">
        <v>29</v>
      </c>
      <c r="F152" s="279" t="s">
        <v>7</v>
      </c>
      <c r="G152" s="46"/>
      <c r="H152" s="46"/>
      <c r="I152" s="263">
        <f>I156+I154</f>
        <v>7463.4</v>
      </c>
      <c r="J152" s="263">
        <f>J156+J154</f>
        <v>1397.3</v>
      </c>
      <c r="K152" s="263">
        <f t="shared" si="10"/>
        <v>18.722030173915375</v>
      </c>
    </row>
    <row r="153" spans="1:11" ht="37.5" customHeight="1">
      <c r="A153" s="304" t="s">
        <v>291</v>
      </c>
      <c r="B153" s="37">
        <v>528</v>
      </c>
      <c r="C153" s="149" t="s">
        <v>15</v>
      </c>
      <c r="D153" s="149" t="s">
        <v>22</v>
      </c>
      <c r="E153" s="149" t="s">
        <v>29</v>
      </c>
      <c r="F153" s="152" t="s">
        <v>7</v>
      </c>
      <c r="G153" s="46"/>
      <c r="H153" s="46"/>
      <c r="I153" s="263">
        <f>I156+I154</f>
        <v>7463.4</v>
      </c>
      <c r="J153" s="263">
        <f>J156+J154</f>
        <v>1397.3</v>
      </c>
      <c r="K153" s="263">
        <f t="shared" si="10"/>
        <v>18.722030173915375</v>
      </c>
    </row>
    <row r="154" spans="1:11" ht="59.25" customHeight="1">
      <c r="A154" s="204" t="s">
        <v>282</v>
      </c>
      <c r="B154" s="37">
        <v>528</v>
      </c>
      <c r="C154" s="149" t="s">
        <v>15</v>
      </c>
      <c r="D154" s="149" t="s">
        <v>22</v>
      </c>
      <c r="E154" s="149" t="s">
        <v>283</v>
      </c>
      <c r="F154" s="152" t="s">
        <v>7</v>
      </c>
      <c r="G154" s="47"/>
      <c r="H154" s="47"/>
      <c r="I154" s="264">
        <f>I155</f>
        <v>4649.8</v>
      </c>
      <c r="J154" s="264">
        <f>J155</f>
        <v>1397.3</v>
      </c>
      <c r="K154" s="263">
        <f t="shared" si="10"/>
        <v>30.050754871177254</v>
      </c>
    </row>
    <row r="155" spans="1:11" ht="71.25" customHeight="1">
      <c r="A155" s="204" t="s">
        <v>272</v>
      </c>
      <c r="B155" s="37">
        <v>528</v>
      </c>
      <c r="C155" s="149" t="s">
        <v>15</v>
      </c>
      <c r="D155" s="149" t="s">
        <v>22</v>
      </c>
      <c r="E155" s="149" t="s">
        <v>283</v>
      </c>
      <c r="F155" s="152" t="s">
        <v>173</v>
      </c>
      <c r="G155" s="47"/>
      <c r="H155" s="47"/>
      <c r="I155" s="264">
        <v>4649.8</v>
      </c>
      <c r="J155" s="264">
        <v>1397.3</v>
      </c>
      <c r="K155" s="263">
        <f t="shared" si="10"/>
        <v>30.050754871177254</v>
      </c>
    </row>
    <row r="156" spans="1:11" ht="105.75" customHeight="1">
      <c r="A156" s="204" t="s">
        <v>287</v>
      </c>
      <c r="B156" s="37">
        <v>528</v>
      </c>
      <c r="C156" s="149" t="s">
        <v>15</v>
      </c>
      <c r="D156" s="149" t="s">
        <v>22</v>
      </c>
      <c r="E156" s="149" t="s">
        <v>288</v>
      </c>
      <c r="F156" s="152" t="s">
        <v>7</v>
      </c>
      <c r="G156" s="47"/>
      <c r="H156" s="47"/>
      <c r="I156" s="270">
        <f>I157</f>
        <v>2813.6</v>
      </c>
      <c r="J156" s="270">
        <f>J157</f>
        <v>0</v>
      </c>
      <c r="K156" s="263">
        <f t="shared" si="10"/>
        <v>0</v>
      </c>
    </row>
    <row r="157" spans="1:11" ht="78.75" customHeight="1">
      <c r="A157" s="204" t="s">
        <v>272</v>
      </c>
      <c r="B157" s="37">
        <v>528</v>
      </c>
      <c r="C157" s="149" t="s">
        <v>15</v>
      </c>
      <c r="D157" s="149" t="s">
        <v>22</v>
      </c>
      <c r="E157" s="149" t="s">
        <v>288</v>
      </c>
      <c r="F157" s="152" t="s">
        <v>173</v>
      </c>
      <c r="G157" s="47"/>
      <c r="H157" s="47"/>
      <c r="I157" s="270">
        <v>2813.6</v>
      </c>
      <c r="J157" s="323"/>
      <c r="K157" s="263">
        <f t="shared" si="10"/>
        <v>0</v>
      </c>
    </row>
    <row r="158" spans="1:11" ht="25.5" customHeight="1">
      <c r="A158" s="208" t="s">
        <v>94</v>
      </c>
      <c r="B158" s="104">
        <v>528</v>
      </c>
      <c r="C158" s="21" t="s">
        <v>45</v>
      </c>
      <c r="D158" s="21" t="s">
        <v>16</v>
      </c>
      <c r="E158" s="179" t="s">
        <v>29</v>
      </c>
      <c r="F158" s="21" t="s">
        <v>7</v>
      </c>
      <c r="G158" s="46"/>
      <c r="H158" s="46"/>
      <c r="I158" s="263">
        <f>I159</f>
        <v>6200</v>
      </c>
      <c r="J158" s="263">
        <f>J159</f>
        <v>0</v>
      </c>
      <c r="K158" s="263">
        <f t="shared" si="10"/>
        <v>0</v>
      </c>
    </row>
    <row r="159" spans="1:11" ht="36.75" customHeight="1">
      <c r="A159" s="324" t="s">
        <v>222</v>
      </c>
      <c r="B159" s="325">
        <v>528</v>
      </c>
      <c r="C159" s="326" t="s">
        <v>45</v>
      </c>
      <c r="D159" s="326" t="s">
        <v>45</v>
      </c>
      <c r="E159" s="327" t="s">
        <v>29</v>
      </c>
      <c r="F159" s="326" t="s">
        <v>7</v>
      </c>
      <c r="G159" s="326" t="s">
        <v>311</v>
      </c>
      <c r="H159" s="326" t="s">
        <v>312</v>
      </c>
      <c r="I159" s="263">
        <f>I160</f>
        <v>6200</v>
      </c>
      <c r="J159" s="263">
        <f>J160</f>
        <v>0</v>
      </c>
      <c r="K159" s="263">
        <f t="shared" si="10"/>
        <v>0</v>
      </c>
    </row>
    <row r="160" spans="1:11" ht="66.75" customHeight="1">
      <c r="A160" s="324" t="s">
        <v>308</v>
      </c>
      <c r="B160" s="325">
        <v>528</v>
      </c>
      <c r="C160" s="326" t="s">
        <v>45</v>
      </c>
      <c r="D160" s="326" t="s">
        <v>45</v>
      </c>
      <c r="E160" s="327" t="s">
        <v>309</v>
      </c>
      <c r="F160" s="326" t="s">
        <v>310</v>
      </c>
      <c r="G160" s="328"/>
      <c r="H160" s="328"/>
      <c r="I160" s="329">
        <v>6200</v>
      </c>
      <c r="J160" s="329"/>
      <c r="K160" s="263">
        <f t="shared" si="10"/>
        <v>0</v>
      </c>
    </row>
    <row r="161" spans="1:11" ht="63.75" customHeight="1">
      <c r="A161" s="17" t="s">
        <v>266</v>
      </c>
      <c r="B161" s="102" t="s">
        <v>91</v>
      </c>
      <c r="C161" s="21" t="s">
        <v>64</v>
      </c>
      <c r="D161" s="21" t="s">
        <v>16</v>
      </c>
      <c r="E161" s="21" t="s">
        <v>29</v>
      </c>
      <c r="F161" s="21" t="s">
        <v>7</v>
      </c>
      <c r="G161" s="46" t="e">
        <f>G162+#REF!+#REF!+#REF!</f>
        <v>#REF!</v>
      </c>
      <c r="H161" s="46" t="e">
        <f>H162+#REF!+#REF!+#REF!</f>
        <v>#REF!</v>
      </c>
      <c r="I161" s="263">
        <f>I162+I166</f>
        <v>14812.73</v>
      </c>
      <c r="J161" s="263">
        <f>J162+J166</f>
        <v>10901</v>
      </c>
      <c r="K161" s="263">
        <f t="shared" si="10"/>
        <v>73.59210624915191</v>
      </c>
    </row>
    <row r="162" spans="1:11" ht="50.25" customHeight="1">
      <c r="A162" s="232" t="s">
        <v>124</v>
      </c>
      <c r="B162" s="110" t="s">
        <v>91</v>
      </c>
      <c r="C162" s="55" t="s">
        <v>64</v>
      </c>
      <c r="D162" s="55" t="s">
        <v>8</v>
      </c>
      <c r="E162" s="55" t="s">
        <v>29</v>
      </c>
      <c r="F162" s="58" t="s">
        <v>7</v>
      </c>
      <c r="G162" s="59">
        <f aca="true" t="shared" si="12" ref="G162:H164">G163</f>
        <v>0</v>
      </c>
      <c r="H162" s="59">
        <f t="shared" si="12"/>
        <v>14013.15</v>
      </c>
      <c r="I162" s="271">
        <f aca="true" t="shared" si="13" ref="I162:J164">I163</f>
        <v>14382.73</v>
      </c>
      <c r="J162" s="271">
        <f t="shared" si="13"/>
        <v>10521</v>
      </c>
      <c r="K162" s="263">
        <f t="shared" si="10"/>
        <v>73.15022947660145</v>
      </c>
    </row>
    <row r="163" spans="1:11" ht="24.75" customHeight="1">
      <c r="A163" s="218" t="s">
        <v>87</v>
      </c>
      <c r="B163" s="110" t="s">
        <v>91</v>
      </c>
      <c r="C163" s="55" t="s">
        <v>64</v>
      </c>
      <c r="D163" s="55" t="s">
        <v>8</v>
      </c>
      <c r="E163" s="55" t="s">
        <v>259</v>
      </c>
      <c r="F163" s="58" t="s">
        <v>7</v>
      </c>
      <c r="G163" s="60">
        <f t="shared" si="12"/>
        <v>0</v>
      </c>
      <c r="H163" s="60">
        <f t="shared" si="12"/>
        <v>14013.15</v>
      </c>
      <c r="I163" s="271">
        <f t="shared" si="13"/>
        <v>14382.73</v>
      </c>
      <c r="J163" s="271">
        <f t="shared" si="13"/>
        <v>10521</v>
      </c>
      <c r="K163" s="263">
        <f t="shared" si="10"/>
        <v>73.15022947660145</v>
      </c>
    </row>
    <row r="164" spans="1:11" ht="45.75" customHeight="1">
      <c r="A164" s="218" t="s">
        <v>88</v>
      </c>
      <c r="B164" s="110" t="s">
        <v>91</v>
      </c>
      <c r="C164" s="55" t="s">
        <v>64</v>
      </c>
      <c r="D164" s="55" t="s">
        <v>8</v>
      </c>
      <c r="E164" s="61" t="s">
        <v>260</v>
      </c>
      <c r="F164" s="62" t="s">
        <v>7</v>
      </c>
      <c r="G164" s="56">
        <f t="shared" si="12"/>
        <v>0</v>
      </c>
      <c r="H164" s="56">
        <f t="shared" si="12"/>
        <v>14013.15</v>
      </c>
      <c r="I164" s="271">
        <f t="shared" si="13"/>
        <v>14382.73</v>
      </c>
      <c r="J164" s="271">
        <f t="shared" si="13"/>
        <v>10521</v>
      </c>
      <c r="K164" s="263">
        <f t="shared" si="10"/>
        <v>73.15022947660145</v>
      </c>
    </row>
    <row r="165" spans="1:11" ht="24" customHeight="1">
      <c r="A165" s="218" t="s">
        <v>89</v>
      </c>
      <c r="B165" s="110" t="s">
        <v>91</v>
      </c>
      <c r="C165" s="55" t="s">
        <v>64</v>
      </c>
      <c r="D165" s="55" t="s">
        <v>8</v>
      </c>
      <c r="E165" s="61" t="s">
        <v>260</v>
      </c>
      <c r="F165" s="123" t="s">
        <v>144</v>
      </c>
      <c r="G165" s="56"/>
      <c r="H165" s="56">
        <v>14013.15</v>
      </c>
      <c r="I165" s="271">
        <f>14383.27-0.54</f>
        <v>14382.73</v>
      </c>
      <c r="J165" s="271">
        <v>10521</v>
      </c>
      <c r="K165" s="263">
        <f t="shared" si="10"/>
        <v>73.15022947660145</v>
      </c>
    </row>
    <row r="166" spans="1:11" ht="56.25" customHeight="1">
      <c r="A166" s="223" t="s">
        <v>147</v>
      </c>
      <c r="B166" s="112" t="s">
        <v>91</v>
      </c>
      <c r="C166" s="63" t="s">
        <v>64</v>
      </c>
      <c r="D166" s="120" t="s">
        <v>24</v>
      </c>
      <c r="E166" s="120" t="s">
        <v>29</v>
      </c>
      <c r="F166" s="125" t="s">
        <v>7</v>
      </c>
      <c r="G166" s="124"/>
      <c r="H166" s="124"/>
      <c r="I166" s="271">
        <f>I167+I170</f>
        <v>430</v>
      </c>
      <c r="J166" s="271">
        <f>J167+J170</f>
        <v>380</v>
      </c>
      <c r="K166" s="263">
        <f t="shared" si="10"/>
        <v>88.37209302325581</v>
      </c>
    </row>
    <row r="167" spans="1:11" ht="84" customHeight="1">
      <c r="A167" s="157" t="s">
        <v>216</v>
      </c>
      <c r="B167" s="126" t="s">
        <v>91</v>
      </c>
      <c r="C167" s="120" t="s">
        <v>64</v>
      </c>
      <c r="D167" s="120" t="s">
        <v>24</v>
      </c>
      <c r="E167" s="120" t="s">
        <v>264</v>
      </c>
      <c r="F167" s="125" t="s">
        <v>7</v>
      </c>
      <c r="G167" s="124"/>
      <c r="H167" s="124"/>
      <c r="I167" s="271">
        <f>I168</f>
        <v>400</v>
      </c>
      <c r="J167" s="271">
        <f>J168</f>
        <v>350</v>
      </c>
      <c r="K167" s="263">
        <f t="shared" si="10"/>
        <v>87.5</v>
      </c>
    </row>
    <row r="168" spans="1:11" ht="51.75" customHeight="1">
      <c r="A168" s="121" t="s">
        <v>150</v>
      </c>
      <c r="B168" s="126" t="s">
        <v>91</v>
      </c>
      <c r="C168" s="120" t="s">
        <v>64</v>
      </c>
      <c r="D168" s="120" t="s">
        <v>24</v>
      </c>
      <c r="E168" s="98" t="s">
        <v>1</v>
      </c>
      <c r="F168" s="125" t="s">
        <v>7</v>
      </c>
      <c r="G168" s="124"/>
      <c r="H168" s="124"/>
      <c r="I168" s="271">
        <f>I169</f>
        <v>400</v>
      </c>
      <c r="J168" s="271">
        <f>J169</f>
        <v>350</v>
      </c>
      <c r="K168" s="263">
        <f t="shared" si="10"/>
        <v>87.5</v>
      </c>
    </row>
    <row r="169" spans="1:11" ht="22.5" customHeight="1">
      <c r="A169" s="223" t="s">
        <v>93</v>
      </c>
      <c r="B169" s="126" t="s">
        <v>91</v>
      </c>
      <c r="C169" s="120" t="s">
        <v>64</v>
      </c>
      <c r="D169" s="120" t="s">
        <v>24</v>
      </c>
      <c r="E169" s="98" t="s">
        <v>1</v>
      </c>
      <c r="F169" s="125" t="s">
        <v>148</v>
      </c>
      <c r="G169" s="124"/>
      <c r="H169" s="124"/>
      <c r="I169" s="271">
        <v>400</v>
      </c>
      <c r="J169" s="271">
        <v>350</v>
      </c>
      <c r="K169" s="263">
        <f t="shared" si="10"/>
        <v>87.5</v>
      </c>
    </row>
    <row r="170" spans="1:11" ht="63.75" customHeight="1">
      <c r="A170" s="223" t="s">
        <v>280</v>
      </c>
      <c r="B170" s="126" t="s">
        <v>91</v>
      </c>
      <c r="C170" s="120" t="s">
        <v>64</v>
      </c>
      <c r="D170" s="120" t="s">
        <v>24</v>
      </c>
      <c r="E170" s="98" t="s">
        <v>281</v>
      </c>
      <c r="F170" s="125" t="s">
        <v>7</v>
      </c>
      <c r="G170" s="124"/>
      <c r="H170" s="124"/>
      <c r="I170" s="271">
        <f>I171</f>
        <v>30</v>
      </c>
      <c r="J170" s="271">
        <f>J171</f>
        <v>30</v>
      </c>
      <c r="K170" s="263">
        <f t="shared" si="10"/>
        <v>100</v>
      </c>
    </row>
    <row r="171" spans="1:11" ht="33" customHeight="1">
      <c r="A171" s="223" t="s">
        <v>93</v>
      </c>
      <c r="B171" s="126" t="s">
        <v>91</v>
      </c>
      <c r="C171" s="120" t="s">
        <v>64</v>
      </c>
      <c r="D171" s="120" t="s">
        <v>24</v>
      </c>
      <c r="E171" s="98" t="s">
        <v>281</v>
      </c>
      <c r="F171" s="125" t="s">
        <v>148</v>
      </c>
      <c r="G171" s="124"/>
      <c r="H171" s="124"/>
      <c r="I171" s="271">
        <f>10+20</f>
        <v>30</v>
      </c>
      <c r="J171" s="271">
        <v>30</v>
      </c>
      <c r="K171" s="263">
        <f t="shared" si="10"/>
        <v>100</v>
      </c>
    </row>
    <row r="172" spans="1:11" ht="78.75" customHeight="1">
      <c r="A172" s="224" t="s">
        <v>126</v>
      </c>
      <c r="B172" s="133" t="s">
        <v>63</v>
      </c>
      <c r="C172" s="134" t="s">
        <v>26</v>
      </c>
      <c r="D172" s="134" t="s">
        <v>26</v>
      </c>
      <c r="E172" s="134" t="s">
        <v>29</v>
      </c>
      <c r="F172" s="134" t="s">
        <v>7</v>
      </c>
      <c r="G172" s="135" t="e">
        <f aca="true" t="shared" si="14" ref="G172:J173">G173</f>
        <v>#REF!</v>
      </c>
      <c r="H172" s="135" t="e">
        <f t="shared" si="14"/>
        <v>#REF!</v>
      </c>
      <c r="I172" s="273">
        <f t="shared" si="14"/>
        <v>840.9</v>
      </c>
      <c r="J172" s="273">
        <f t="shared" si="14"/>
        <v>577.9</v>
      </c>
      <c r="K172" s="263">
        <f t="shared" si="10"/>
        <v>68.72398620525627</v>
      </c>
    </row>
    <row r="173" spans="1:11" ht="26.25" customHeight="1">
      <c r="A173" s="5" t="s">
        <v>17</v>
      </c>
      <c r="B173" s="182" t="s">
        <v>63</v>
      </c>
      <c r="C173" s="183" t="s">
        <v>8</v>
      </c>
      <c r="D173" s="183" t="s">
        <v>16</v>
      </c>
      <c r="E173" s="183" t="s">
        <v>29</v>
      </c>
      <c r="F173" s="183" t="s">
        <v>7</v>
      </c>
      <c r="G173" s="66" t="e">
        <f t="shared" si="14"/>
        <v>#REF!</v>
      </c>
      <c r="H173" s="66" t="e">
        <f t="shared" si="14"/>
        <v>#REF!</v>
      </c>
      <c r="I173" s="271">
        <f t="shared" si="14"/>
        <v>840.9</v>
      </c>
      <c r="J173" s="271">
        <f t="shared" si="14"/>
        <v>577.9</v>
      </c>
      <c r="K173" s="263">
        <f t="shared" si="10"/>
        <v>68.72398620525627</v>
      </c>
    </row>
    <row r="174" spans="1:11" ht="21.75" customHeight="1">
      <c r="A174" s="5" t="s">
        <v>19</v>
      </c>
      <c r="B174" s="182" t="s">
        <v>63</v>
      </c>
      <c r="C174" s="183" t="s">
        <v>8</v>
      </c>
      <c r="D174" s="183" t="s">
        <v>116</v>
      </c>
      <c r="E174" s="183" t="s">
        <v>29</v>
      </c>
      <c r="F174" s="183" t="s">
        <v>7</v>
      </c>
      <c r="G174" s="66" t="e">
        <f>G175+#REF!</f>
        <v>#REF!</v>
      </c>
      <c r="H174" s="66" t="e">
        <f aca="true" t="shared" si="15" ref="H174:J175">H175</f>
        <v>#REF!</v>
      </c>
      <c r="I174" s="271">
        <f t="shared" si="15"/>
        <v>840.9</v>
      </c>
      <c r="J174" s="271">
        <f t="shared" si="15"/>
        <v>577.9</v>
      </c>
      <c r="K174" s="263">
        <f t="shared" si="10"/>
        <v>68.72398620525627</v>
      </c>
    </row>
    <row r="175" spans="1:11" ht="81" customHeight="1">
      <c r="A175" s="5" t="s">
        <v>59</v>
      </c>
      <c r="B175" s="182" t="s">
        <v>63</v>
      </c>
      <c r="C175" s="183" t="s">
        <v>8</v>
      </c>
      <c r="D175" s="183" t="s">
        <v>116</v>
      </c>
      <c r="E175" s="183" t="s">
        <v>65</v>
      </c>
      <c r="F175" s="183" t="s">
        <v>7</v>
      </c>
      <c r="G175" s="66" t="e">
        <f>G176</f>
        <v>#REF!</v>
      </c>
      <c r="H175" s="66" t="e">
        <f t="shared" si="15"/>
        <v>#REF!</v>
      </c>
      <c r="I175" s="271">
        <f t="shared" si="15"/>
        <v>840.9</v>
      </c>
      <c r="J175" s="271">
        <f t="shared" si="15"/>
        <v>577.9</v>
      </c>
      <c r="K175" s="263">
        <f t="shared" si="10"/>
        <v>68.72398620525627</v>
      </c>
    </row>
    <row r="176" spans="1:11" ht="21" customHeight="1">
      <c r="A176" s="5" t="s">
        <v>18</v>
      </c>
      <c r="B176" s="182" t="s">
        <v>63</v>
      </c>
      <c r="C176" s="183" t="s">
        <v>8</v>
      </c>
      <c r="D176" s="183" t="s">
        <v>116</v>
      </c>
      <c r="E176" s="183" t="s">
        <v>66</v>
      </c>
      <c r="F176" s="183" t="s">
        <v>7</v>
      </c>
      <c r="G176" s="66" t="e">
        <f>#REF!</f>
        <v>#REF!</v>
      </c>
      <c r="H176" s="66" t="e">
        <f>#REF!</f>
        <v>#REF!</v>
      </c>
      <c r="I176" s="271">
        <f>I177+I178+I179+I180</f>
        <v>840.9</v>
      </c>
      <c r="J176" s="271">
        <f>J177+J178+J179+J180</f>
        <v>577.9</v>
      </c>
      <c r="K176" s="263">
        <f t="shared" si="10"/>
        <v>68.72398620525627</v>
      </c>
    </row>
    <row r="177" spans="1:11" ht="26.25" customHeight="1">
      <c r="A177" s="212" t="s">
        <v>133</v>
      </c>
      <c r="B177" s="182" t="s">
        <v>63</v>
      </c>
      <c r="C177" s="183" t="s">
        <v>8</v>
      </c>
      <c r="D177" s="183" t="s">
        <v>116</v>
      </c>
      <c r="E177" s="183" t="s">
        <v>66</v>
      </c>
      <c r="F177" s="183" t="s">
        <v>127</v>
      </c>
      <c r="G177" s="66"/>
      <c r="H177" s="66"/>
      <c r="I177" s="271">
        <v>580</v>
      </c>
      <c r="J177" s="315">
        <v>520.3</v>
      </c>
      <c r="K177" s="263">
        <f t="shared" si="10"/>
        <v>89.70689655172413</v>
      </c>
    </row>
    <row r="178" spans="1:11" ht="32.25" customHeight="1">
      <c r="A178" s="121" t="s">
        <v>132</v>
      </c>
      <c r="B178" s="182" t="s">
        <v>63</v>
      </c>
      <c r="C178" s="183" t="s">
        <v>8</v>
      </c>
      <c r="D178" s="183" t="s">
        <v>116</v>
      </c>
      <c r="E178" s="183" t="s">
        <v>66</v>
      </c>
      <c r="F178" s="183" t="s">
        <v>128</v>
      </c>
      <c r="G178" s="66"/>
      <c r="H178" s="66"/>
      <c r="I178" s="271">
        <v>1</v>
      </c>
      <c r="J178" s="315">
        <v>0</v>
      </c>
      <c r="K178" s="263">
        <f t="shared" si="10"/>
        <v>0</v>
      </c>
    </row>
    <row r="179" spans="1:14" ht="31.5" customHeight="1">
      <c r="A179" s="121" t="s">
        <v>142</v>
      </c>
      <c r="B179" s="182" t="s">
        <v>63</v>
      </c>
      <c r="C179" s="183" t="s">
        <v>8</v>
      </c>
      <c r="D179" s="183" t="s">
        <v>116</v>
      </c>
      <c r="E179" s="183" t="s">
        <v>66</v>
      </c>
      <c r="F179" s="183" t="s">
        <v>129</v>
      </c>
      <c r="G179" s="66"/>
      <c r="H179" s="66"/>
      <c r="I179" s="271">
        <f>285-26.1</f>
        <v>258.9</v>
      </c>
      <c r="J179" s="315">
        <v>57.6</v>
      </c>
      <c r="K179" s="263">
        <f t="shared" si="10"/>
        <v>22.247972190034766</v>
      </c>
      <c r="N179" s="249"/>
    </row>
    <row r="180" spans="1:11" ht="32.25" customHeight="1">
      <c r="A180" s="212" t="s">
        <v>138</v>
      </c>
      <c r="B180" s="182" t="s">
        <v>63</v>
      </c>
      <c r="C180" s="183" t="s">
        <v>8</v>
      </c>
      <c r="D180" s="183" t="s">
        <v>116</v>
      </c>
      <c r="E180" s="183" t="s">
        <v>66</v>
      </c>
      <c r="F180" s="183" t="s">
        <v>137</v>
      </c>
      <c r="G180" s="66"/>
      <c r="H180" s="66"/>
      <c r="I180" s="266">
        <v>1</v>
      </c>
      <c r="J180" s="315">
        <v>0</v>
      </c>
      <c r="K180" s="263">
        <f t="shared" si="10"/>
        <v>0</v>
      </c>
    </row>
    <row r="181" spans="1:11" ht="53.25" customHeight="1">
      <c r="A181" s="205" t="s">
        <v>157</v>
      </c>
      <c r="B181" s="129" t="s">
        <v>67</v>
      </c>
      <c r="C181" s="130" t="s">
        <v>16</v>
      </c>
      <c r="D181" s="130" t="s">
        <v>16</v>
      </c>
      <c r="E181" s="130" t="s">
        <v>29</v>
      </c>
      <c r="F181" s="130" t="s">
        <v>7</v>
      </c>
      <c r="G181" s="131" t="e">
        <f>G182+G188</f>
        <v>#REF!</v>
      </c>
      <c r="H181" s="131" t="e">
        <f>H182+H188</f>
        <v>#REF!</v>
      </c>
      <c r="I181" s="263">
        <f>I182+I188</f>
        <v>7137.8</v>
      </c>
      <c r="J181" s="263">
        <f>J182+J188</f>
        <v>5531.2</v>
      </c>
      <c r="K181" s="263">
        <f t="shared" si="10"/>
        <v>77.49166409818152</v>
      </c>
    </row>
    <row r="182" spans="1:11" ht="18" customHeight="1">
      <c r="A182" s="225" t="s">
        <v>57</v>
      </c>
      <c r="B182" s="115" t="s">
        <v>67</v>
      </c>
      <c r="C182" s="67" t="s">
        <v>11</v>
      </c>
      <c r="D182" s="67" t="s">
        <v>16</v>
      </c>
      <c r="E182" s="67" t="s">
        <v>29</v>
      </c>
      <c r="F182" s="67" t="s">
        <v>7</v>
      </c>
      <c r="G182" s="68">
        <f aca="true" t="shared" si="16" ref="G182:J185">G183</f>
        <v>0</v>
      </c>
      <c r="H182" s="68">
        <f t="shared" si="16"/>
        <v>2073</v>
      </c>
      <c r="I182" s="272">
        <f t="shared" si="16"/>
        <v>2240</v>
      </c>
      <c r="J182" s="272">
        <f t="shared" si="16"/>
        <v>1946.2</v>
      </c>
      <c r="K182" s="263">
        <f t="shared" si="10"/>
        <v>86.88392857142857</v>
      </c>
    </row>
    <row r="183" spans="1:11" ht="22.5" customHeight="1">
      <c r="A183" s="157" t="s">
        <v>12</v>
      </c>
      <c r="B183" s="116" t="s">
        <v>67</v>
      </c>
      <c r="C183" s="15" t="s">
        <v>11</v>
      </c>
      <c r="D183" s="15" t="s">
        <v>16</v>
      </c>
      <c r="E183" s="15" t="s">
        <v>29</v>
      </c>
      <c r="F183" s="15" t="s">
        <v>7</v>
      </c>
      <c r="G183" s="69">
        <f t="shared" si="16"/>
        <v>0</v>
      </c>
      <c r="H183" s="69">
        <f t="shared" si="16"/>
        <v>2073</v>
      </c>
      <c r="I183" s="268">
        <f t="shared" si="16"/>
        <v>2240</v>
      </c>
      <c r="J183" s="268">
        <f t="shared" si="16"/>
        <v>1946.2</v>
      </c>
      <c r="K183" s="263">
        <f t="shared" si="10"/>
        <v>86.88392857142857</v>
      </c>
    </row>
    <row r="184" spans="1:11" ht="21.75" customHeight="1">
      <c r="A184" s="157" t="s">
        <v>13</v>
      </c>
      <c r="B184" s="108" t="s">
        <v>67</v>
      </c>
      <c r="C184" s="12" t="s">
        <v>11</v>
      </c>
      <c r="D184" s="12" t="s">
        <v>10</v>
      </c>
      <c r="E184" s="12" t="s">
        <v>29</v>
      </c>
      <c r="F184" s="12" t="s">
        <v>7</v>
      </c>
      <c r="G184" s="44">
        <f t="shared" si="16"/>
        <v>0</v>
      </c>
      <c r="H184" s="44">
        <f t="shared" si="16"/>
        <v>2073</v>
      </c>
      <c r="I184" s="265">
        <f t="shared" si="16"/>
        <v>2240</v>
      </c>
      <c r="J184" s="265">
        <f t="shared" si="16"/>
        <v>1946.2</v>
      </c>
      <c r="K184" s="263">
        <f t="shared" si="10"/>
        <v>86.88392857142857</v>
      </c>
    </row>
    <row r="185" spans="1:11" ht="27.75" customHeight="1">
      <c r="A185" s="212" t="s">
        <v>14</v>
      </c>
      <c r="B185" s="117" t="s">
        <v>67</v>
      </c>
      <c r="C185" s="70" t="s">
        <v>11</v>
      </c>
      <c r="D185" s="70" t="s">
        <v>10</v>
      </c>
      <c r="E185" s="11" t="s">
        <v>34</v>
      </c>
      <c r="F185" s="70" t="s">
        <v>7</v>
      </c>
      <c r="G185" s="53">
        <f t="shared" si="16"/>
        <v>0</v>
      </c>
      <c r="H185" s="53">
        <f t="shared" si="16"/>
        <v>2073</v>
      </c>
      <c r="I185" s="269">
        <f t="shared" si="16"/>
        <v>2240</v>
      </c>
      <c r="J185" s="269">
        <f t="shared" si="16"/>
        <v>1946.2</v>
      </c>
      <c r="K185" s="263">
        <f t="shared" si="10"/>
        <v>86.88392857142857</v>
      </c>
    </row>
    <row r="186" spans="1:11" ht="30" customHeight="1">
      <c r="A186" s="212" t="s">
        <v>20</v>
      </c>
      <c r="B186" s="117" t="s">
        <v>67</v>
      </c>
      <c r="C186" s="70" t="s">
        <v>11</v>
      </c>
      <c r="D186" s="70" t="s">
        <v>10</v>
      </c>
      <c r="E186" s="11" t="s">
        <v>68</v>
      </c>
      <c r="F186" s="70" t="s">
        <v>7</v>
      </c>
      <c r="G186" s="53">
        <f>G187</f>
        <v>0</v>
      </c>
      <c r="H186" s="53">
        <f>H187</f>
        <v>2073</v>
      </c>
      <c r="I186" s="269">
        <f>I187</f>
        <v>2240</v>
      </c>
      <c r="J186" s="269">
        <f>J187</f>
        <v>1946.2</v>
      </c>
      <c r="K186" s="263">
        <f t="shared" si="10"/>
        <v>86.88392857142857</v>
      </c>
    </row>
    <row r="187" spans="1:11" ht="45.75" customHeight="1">
      <c r="A187" s="121" t="s">
        <v>149</v>
      </c>
      <c r="B187" s="117" t="s">
        <v>67</v>
      </c>
      <c r="C187" s="70" t="s">
        <v>11</v>
      </c>
      <c r="D187" s="70" t="s">
        <v>10</v>
      </c>
      <c r="E187" s="11" t="s">
        <v>68</v>
      </c>
      <c r="F187" s="70" t="s">
        <v>141</v>
      </c>
      <c r="G187" s="44"/>
      <c r="H187" s="44">
        <v>2073</v>
      </c>
      <c r="I187" s="265">
        <v>2240</v>
      </c>
      <c r="J187" s="269">
        <v>1946.2</v>
      </c>
      <c r="K187" s="263">
        <f t="shared" si="10"/>
        <v>86.88392857142857</v>
      </c>
    </row>
    <row r="188" spans="1:11" ht="24" customHeight="1">
      <c r="A188" s="1" t="s">
        <v>119</v>
      </c>
      <c r="B188" s="111" t="s">
        <v>67</v>
      </c>
      <c r="C188" s="64" t="s">
        <v>46</v>
      </c>
      <c r="D188" s="64" t="s">
        <v>16</v>
      </c>
      <c r="E188" s="64" t="s">
        <v>29</v>
      </c>
      <c r="F188" s="64" t="s">
        <v>7</v>
      </c>
      <c r="G188" s="71" t="e">
        <f>G189+G218</f>
        <v>#REF!</v>
      </c>
      <c r="H188" s="71" t="e">
        <f>H189+H218+H201++H196</f>
        <v>#REF!</v>
      </c>
      <c r="I188" s="268">
        <f>I189+I218</f>
        <v>4897.8</v>
      </c>
      <c r="J188" s="268">
        <f>J189+J218</f>
        <v>3585</v>
      </c>
      <c r="K188" s="263">
        <f t="shared" si="10"/>
        <v>73.1961288741884</v>
      </c>
    </row>
    <row r="189" spans="1:11" ht="23.25" customHeight="1">
      <c r="A189" s="6" t="s">
        <v>69</v>
      </c>
      <c r="B189" s="114" t="s">
        <v>67</v>
      </c>
      <c r="C189" s="95" t="s">
        <v>46</v>
      </c>
      <c r="D189" s="95" t="s">
        <v>8</v>
      </c>
      <c r="E189" s="95" t="s">
        <v>29</v>
      </c>
      <c r="F189" s="95" t="s">
        <v>7</v>
      </c>
      <c r="G189" s="72" t="e">
        <f>#REF!+G196+G201</f>
        <v>#REF!</v>
      </c>
      <c r="H189" s="73" t="e">
        <f>#REF!</f>
        <v>#REF!</v>
      </c>
      <c r="I189" s="272">
        <f>I190+I213+I216</f>
        <v>4427.8</v>
      </c>
      <c r="J189" s="272">
        <f>J190+J213+J216</f>
        <v>3216.7</v>
      </c>
      <c r="K189" s="263">
        <f t="shared" si="10"/>
        <v>72.64781607118658</v>
      </c>
    </row>
    <row r="190" spans="1:11" ht="46.5" customHeight="1">
      <c r="A190" s="280" t="s">
        <v>293</v>
      </c>
      <c r="B190" s="114" t="s">
        <v>67</v>
      </c>
      <c r="C190" s="95" t="s">
        <v>46</v>
      </c>
      <c r="D190" s="95" t="s">
        <v>8</v>
      </c>
      <c r="E190" s="95" t="s">
        <v>47</v>
      </c>
      <c r="F190" s="95" t="s">
        <v>7</v>
      </c>
      <c r="G190" s="72"/>
      <c r="H190" s="73"/>
      <c r="I190" s="272">
        <f>I191+I193+I196+I201</f>
        <v>4394.8</v>
      </c>
      <c r="J190" s="272">
        <f>J191+J193+J196+J201</f>
        <v>3216.7</v>
      </c>
      <c r="K190" s="263">
        <f t="shared" si="10"/>
        <v>73.19331937744606</v>
      </c>
    </row>
    <row r="191" spans="1:11" ht="62.25" customHeight="1">
      <c r="A191" s="228" t="s">
        <v>194</v>
      </c>
      <c r="B191" s="255" t="s">
        <v>67</v>
      </c>
      <c r="C191" s="256" t="s">
        <v>46</v>
      </c>
      <c r="D191" s="256" t="s">
        <v>8</v>
      </c>
      <c r="E191" s="256" t="s">
        <v>195</v>
      </c>
      <c r="F191" s="257" t="s">
        <v>7</v>
      </c>
      <c r="G191" s="127"/>
      <c r="H191" s="127"/>
      <c r="I191" s="270">
        <f>I192</f>
        <v>90.8</v>
      </c>
      <c r="J191" s="270">
        <f>J192</f>
        <v>0</v>
      </c>
      <c r="K191" s="263">
        <f t="shared" si="10"/>
        <v>0</v>
      </c>
    </row>
    <row r="192" spans="1:11" ht="27.75" customHeight="1">
      <c r="A192" s="258" t="s">
        <v>93</v>
      </c>
      <c r="B192" s="255" t="s">
        <v>67</v>
      </c>
      <c r="C192" s="256" t="s">
        <v>46</v>
      </c>
      <c r="D192" s="256" t="s">
        <v>8</v>
      </c>
      <c r="E192" s="256" t="s">
        <v>195</v>
      </c>
      <c r="F192" s="257" t="s">
        <v>148</v>
      </c>
      <c r="G192" s="127"/>
      <c r="H192" s="127"/>
      <c r="I192" s="270">
        <v>90.8</v>
      </c>
      <c r="J192" s="127"/>
      <c r="K192" s="263">
        <f t="shared" si="10"/>
        <v>0</v>
      </c>
    </row>
    <row r="193" spans="1:11" ht="39.75" customHeight="1">
      <c r="A193" s="5" t="s">
        <v>70</v>
      </c>
      <c r="B193" s="172" t="s">
        <v>67</v>
      </c>
      <c r="C193" s="173" t="s">
        <v>46</v>
      </c>
      <c r="D193" s="173" t="s">
        <v>8</v>
      </c>
      <c r="E193" s="173" t="s">
        <v>71</v>
      </c>
      <c r="F193" s="173" t="s">
        <v>7</v>
      </c>
      <c r="G193" s="74" t="e">
        <f>#REF!</f>
        <v>#REF!</v>
      </c>
      <c r="H193" s="74" t="e">
        <f>#REF!</f>
        <v>#REF!</v>
      </c>
      <c r="I193" s="264">
        <f>I194+I195</f>
        <v>2514</v>
      </c>
      <c r="J193" s="264">
        <f>J194+J195</f>
        <v>1823.3</v>
      </c>
      <c r="K193" s="263">
        <f t="shared" si="10"/>
        <v>72.52585521081942</v>
      </c>
    </row>
    <row r="194" spans="1:11" ht="48" customHeight="1">
      <c r="A194" s="324" t="s">
        <v>273</v>
      </c>
      <c r="B194" s="333" t="s">
        <v>67</v>
      </c>
      <c r="C194" s="334" t="s">
        <v>46</v>
      </c>
      <c r="D194" s="334" t="s">
        <v>8</v>
      </c>
      <c r="E194" s="334" t="s">
        <v>71</v>
      </c>
      <c r="F194" s="334" t="s">
        <v>274</v>
      </c>
      <c r="G194" s="335"/>
      <c r="H194" s="335"/>
      <c r="I194" s="329">
        <v>51</v>
      </c>
      <c r="J194" s="329">
        <v>10.6</v>
      </c>
      <c r="K194" s="263">
        <f t="shared" si="10"/>
        <v>20.784313725490193</v>
      </c>
    </row>
    <row r="195" spans="1:11" ht="63" customHeight="1">
      <c r="A195" s="336" t="s">
        <v>145</v>
      </c>
      <c r="B195" s="333" t="s">
        <v>67</v>
      </c>
      <c r="C195" s="334" t="s">
        <v>46</v>
      </c>
      <c r="D195" s="334" t="s">
        <v>8</v>
      </c>
      <c r="E195" s="334" t="s">
        <v>71</v>
      </c>
      <c r="F195" s="334" t="s">
        <v>141</v>
      </c>
      <c r="G195" s="335"/>
      <c r="H195" s="335"/>
      <c r="I195" s="329">
        <f>2478-15</f>
        <v>2463</v>
      </c>
      <c r="J195" s="337">
        <v>1812.7</v>
      </c>
      <c r="K195" s="263">
        <f t="shared" si="10"/>
        <v>73.59723913926106</v>
      </c>
    </row>
    <row r="196" spans="1:11" ht="27" customHeight="1">
      <c r="A196" s="6" t="s">
        <v>95</v>
      </c>
      <c r="B196" s="172" t="s">
        <v>67</v>
      </c>
      <c r="C196" s="173" t="s">
        <v>46</v>
      </c>
      <c r="D196" s="173" t="s">
        <v>8</v>
      </c>
      <c r="E196" s="173" t="s">
        <v>96</v>
      </c>
      <c r="F196" s="173" t="s">
        <v>7</v>
      </c>
      <c r="G196" s="74" t="e">
        <f>G197</f>
        <v>#REF!</v>
      </c>
      <c r="H196" s="75" t="e">
        <f>H197</f>
        <v>#REF!</v>
      </c>
      <c r="I196" s="263">
        <f>I197</f>
        <v>290</v>
      </c>
      <c r="J196" s="263">
        <f>J197</f>
        <v>242.4</v>
      </c>
      <c r="K196" s="263">
        <f t="shared" si="10"/>
        <v>83.58620689655173</v>
      </c>
    </row>
    <row r="197" spans="1:11" ht="37.5" customHeight="1">
      <c r="A197" s="4" t="s">
        <v>20</v>
      </c>
      <c r="B197" s="172" t="s">
        <v>67</v>
      </c>
      <c r="C197" s="173" t="s">
        <v>46</v>
      </c>
      <c r="D197" s="173" t="s">
        <v>8</v>
      </c>
      <c r="E197" s="173" t="s">
        <v>261</v>
      </c>
      <c r="F197" s="173" t="s">
        <v>7</v>
      </c>
      <c r="G197" s="74" t="e">
        <f>#REF!</f>
        <v>#REF!</v>
      </c>
      <c r="H197" s="74" t="e">
        <f>#REF!</f>
        <v>#REF!</v>
      </c>
      <c r="I197" s="264">
        <f>I198+I199+I200</f>
        <v>290</v>
      </c>
      <c r="J197" s="264">
        <f>J198+J199+J200</f>
        <v>242.4</v>
      </c>
      <c r="K197" s="263">
        <f t="shared" si="10"/>
        <v>83.58620689655173</v>
      </c>
    </row>
    <row r="198" spans="1:11" ht="27" customHeight="1">
      <c r="A198" s="212" t="s">
        <v>133</v>
      </c>
      <c r="B198" s="172" t="s">
        <v>67</v>
      </c>
      <c r="C198" s="173" t="s">
        <v>46</v>
      </c>
      <c r="D198" s="173" t="s">
        <v>8</v>
      </c>
      <c r="E198" s="173" t="s">
        <v>261</v>
      </c>
      <c r="F198" s="173" t="s">
        <v>135</v>
      </c>
      <c r="G198" s="74"/>
      <c r="H198" s="74"/>
      <c r="I198" s="264">
        <v>230</v>
      </c>
      <c r="J198" s="318">
        <v>221.9</v>
      </c>
      <c r="K198" s="263">
        <f t="shared" si="10"/>
        <v>96.47826086956522</v>
      </c>
    </row>
    <row r="199" spans="1:11" ht="31.5" customHeight="1">
      <c r="A199" s="121" t="s">
        <v>142</v>
      </c>
      <c r="B199" s="172" t="s">
        <v>67</v>
      </c>
      <c r="C199" s="173" t="s">
        <v>46</v>
      </c>
      <c r="D199" s="173" t="s">
        <v>8</v>
      </c>
      <c r="E199" s="173" t="s">
        <v>261</v>
      </c>
      <c r="F199" s="173" t="s">
        <v>129</v>
      </c>
      <c r="G199" s="74"/>
      <c r="H199" s="74"/>
      <c r="I199" s="264">
        <v>55</v>
      </c>
      <c r="J199" s="318">
        <v>19.4</v>
      </c>
      <c r="K199" s="263">
        <f t="shared" si="10"/>
        <v>35.27272727272727</v>
      </c>
    </row>
    <row r="200" spans="1:11" ht="32.25" customHeight="1">
      <c r="A200" s="212" t="s">
        <v>138</v>
      </c>
      <c r="B200" s="172" t="s">
        <v>67</v>
      </c>
      <c r="C200" s="173" t="s">
        <v>46</v>
      </c>
      <c r="D200" s="173" t="s">
        <v>8</v>
      </c>
      <c r="E200" s="173" t="s">
        <v>261</v>
      </c>
      <c r="F200" s="173" t="s">
        <v>137</v>
      </c>
      <c r="G200" s="74"/>
      <c r="H200" s="74"/>
      <c r="I200" s="264">
        <v>5</v>
      </c>
      <c r="J200" s="318">
        <v>1.1</v>
      </c>
      <c r="K200" s="263">
        <f t="shared" si="10"/>
        <v>22.000000000000004</v>
      </c>
    </row>
    <row r="201" spans="1:11" ht="19.5" customHeight="1">
      <c r="A201" s="6" t="s">
        <v>48</v>
      </c>
      <c r="B201" s="172" t="s">
        <v>67</v>
      </c>
      <c r="C201" s="173" t="s">
        <v>46</v>
      </c>
      <c r="D201" s="173" t="s">
        <v>8</v>
      </c>
      <c r="E201" s="173" t="s">
        <v>294</v>
      </c>
      <c r="F201" s="173" t="s">
        <v>44</v>
      </c>
      <c r="G201" s="74">
        <f>G202+G211</f>
        <v>0</v>
      </c>
      <c r="H201" s="75">
        <f>H202</f>
        <v>0</v>
      </c>
      <c r="I201" s="263">
        <f>I202+I210</f>
        <v>1500</v>
      </c>
      <c r="J201" s="263">
        <f>J202+J210</f>
        <v>1151</v>
      </c>
      <c r="K201" s="263">
        <f t="shared" si="10"/>
        <v>76.73333333333333</v>
      </c>
    </row>
    <row r="202" spans="1:11" ht="45.75" customHeight="1">
      <c r="A202" s="4" t="s">
        <v>70</v>
      </c>
      <c r="B202" s="172" t="s">
        <v>67</v>
      </c>
      <c r="C202" s="173" t="s">
        <v>46</v>
      </c>
      <c r="D202" s="173" t="s">
        <v>8</v>
      </c>
      <c r="E202" s="173" t="s">
        <v>72</v>
      </c>
      <c r="F202" s="173" t="s">
        <v>7</v>
      </c>
      <c r="G202" s="74">
        <f>G210</f>
        <v>0</v>
      </c>
      <c r="H202" s="74">
        <f>H210</f>
        <v>0</v>
      </c>
      <c r="I202" s="264">
        <f>I203+I204+I205+I206+I207+I208</f>
        <v>1300</v>
      </c>
      <c r="J202" s="264">
        <f>J203+J204+J205+J206+J207+J208</f>
        <v>1027.3</v>
      </c>
      <c r="K202" s="263">
        <f t="shared" si="10"/>
        <v>79.02307692307691</v>
      </c>
    </row>
    <row r="203" spans="1:11" ht="31.5" customHeight="1">
      <c r="A203" s="212" t="s">
        <v>133</v>
      </c>
      <c r="B203" s="172" t="s">
        <v>67</v>
      </c>
      <c r="C203" s="173" t="s">
        <v>46</v>
      </c>
      <c r="D203" s="173" t="s">
        <v>8</v>
      </c>
      <c r="E203" s="173" t="s">
        <v>72</v>
      </c>
      <c r="F203" s="173" t="s">
        <v>135</v>
      </c>
      <c r="G203" s="74"/>
      <c r="H203" s="74"/>
      <c r="I203" s="264">
        <v>992.5</v>
      </c>
      <c r="J203" s="318">
        <v>838.9</v>
      </c>
      <c r="K203" s="263">
        <f t="shared" si="10"/>
        <v>84.52392947103274</v>
      </c>
    </row>
    <row r="204" spans="1:11" ht="31.5" customHeight="1">
      <c r="A204" s="121" t="s">
        <v>132</v>
      </c>
      <c r="B204" s="172" t="s">
        <v>67</v>
      </c>
      <c r="C204" s="173" t="s">
        <v>46</v>
      </c>
      <c r="D204" s="173" t="s">
        <v>8</v>
      </c>
      <c r="E204" s="173" t="s">
        <v>72</v>
      </c>
      <c r="F204" s="173" t="s">
        <v>136</v>
      </c>
      <c r="G204" s="74"/>
      <c r="H204" s="74"/>
      <c r="I204" s="264">
        <v>4</v>
      </c>
      <c r="J204" s="318">
        <v>4</v>
      </c>
      <c r="K204" s="263">
        <f t="shared" si="10"/>
        <v>100</v>
      </c>
    </row>
    <row r="205" spans="1:11" ht="31.5" customHeight="1">
      <c r="A205" s="121" t="s">
        <v>142</v>
      </c>
      <c r="B205" s="172" t="s">
        <v>67</v>
      </c>
      <c r="C205" s="173" t="s">
        <v>46</v>
      </c>
      <c r="D205" s="173" t="s">
        <v>8</v>
      </c>
      <c r="E205" s="173" t="s">
        <v>72</v>
      </c>
      <c r="F205" s="173" t="s">
        <v>129</v>
      </c>
      <c r="G205" s="74"/>
      <c r="H205" s="74"/>
      <c r="I205" s="264">
        <v>255.5</v>
      </c>
      <c r="J205" s="318">
        <v>164.1</v>
      </c>
      <c r="K205" s="263">
        <f t="shared" si="10"/>
        <v>64.22700587084148</v>
      </c>
    </row>
    <row r="206" spans="1:11" ht="31.5" customHeight="1">
      <c r="A206" s="204" t="s">
        <v>273</v>
      </c>
      <c r="B206" s="172" t="s">
        <v>67</v>
      </c>
      <c r="C206" s="173" t="s">
        <v>46</v>
      </c>
      <c r="D206" s="173" t="s">
        <v>8</v>
      </c>
      <c r="E206" s="173" t="s">
        <v>72</v>
      </c>
      <c r="F206" s="173" t="s">
        <v>274</v>
      </c>
      <c r="G206" s="74"/>
      <c r="H206" s="74"/>
      <c r="I206" s="264">
        <f>24-4</f>
        <v>20</v>
      </c>
      <c r="J206" s="318">
        <v>12</v>
      </c>
      <c r="K206" s="263">
        <f t="shared" si="10"/>
        <v>60</v>
      </c>
    </row>
    <row r="207" spans="1:11" ht="29.25" customHeight="1">
      <c r="A207" s="212" t="s">
        <v>131</v>
      </c>
      <c r="B207" s="166" t="s">
        <v>67</v>
      </c>
      <c r="C207" s="101" t="s">
        <v>46</v>
      </c>
      <c r="D207" s="101" t="s">
        <v>8</v>
      </c>
      <c r="E207" s="101" t="s">
        <v>72</v>
      </c>
      <c r="F207" s="173" t="s">
        <v>130</v>
      </c>
      <c r="G207" s="74"/>
      <c r="H207" s="74"/>
      <c r="I207" s="264">
        <v>13</v>
      </c>
      <c r="J207" s="318">
        <v>5.6</v>
      </c>
      <c r="K207" s="263">
        <f t="shared" si="10"/>
        <v>43.07692307692307</v>
      </c>
    </row>
    <row r="208" spans="1:11" ht="29.25" customHeight="1">
      <c r="A208" s="212" t="s">
        <v>138</v>
      </c>
      <c r="B208" s="166" t="s">
        <v>67</v>
      </c>
      <c r="C208" s="101" t="s">
        <v>46</v>
      </c>
      <c r="D208" s="101" t="s">
        <v>8</v>
      </c>
      <c r="E208" s="101" t="s">
        <v>72</v>
      </c>
      <c r="F208" s="173" t="s">
        <v>137</v>
      </c>
      <c r="G208" s="74"/>
      <c r="H208" s="74"/>
      <c r="I208" s="264">
        <v>15</v>
      </c>
      <c r="J208" s="318">
        <v>2.7</v>
      </c>
      <c r="K208" s="263">
        <f aca="true" t="shared" si="17" ref="K208:K271">J208/I208*100</f>
        <v>18.000000000000004</v>
      </c>
    </row>
    <row r="209" spans="1:11" ht="74.25" customHeight="1">
      <c r="A209" s="237" t="s">
        <v>263</v>
      </c>
      <c r="B209" s="166" t="s">
        <v>67</v>
      </c>
      <c r="C209" s="101" t="s">
        <v>46</v>
      </c>
      <c r="D209" s="101" t="s">
        <v>8</v>
      </c>
      <c r="E209" s="101" t="s">
        <v>264</v>
      </c>
      <c r="F209" s="184" t="s">
        <v>7</v>
      </c>
      <c r="G209" s="74"/>
      <c r="H209" s="74"/>
      <c r="I209" s="264">
        <f>I210</f>
        <v>200</v>
      </c>
      <c r="J209" s="264">
        <f>J210</f>
        <v>123.69999999999999</v>
      </c>
      <c r="K209" s="263">
        <f t="shared" si="17"/>
        <v>61.849999999999994</v>
      </c>
    </row>
    <row r="210" spans="1:11" ht="47.25" customHeight="1">
      <c r="A210" s="121" t="s">
        <v>150</v>
      </c>
      <c r="B210" s="122" t="s">
        <v>67</v>
      </c>
      <c r="C210" s="7" t="s">
        <v>46</v>
      </c>
      <c r="D210" s="7" t="s">
        <v>8</v>
      </c>
      <c r="E210" s="7" t="s">
        <v>1</v>
      </c>
      <c r="F210" s="101" t="s">
        <v>7</v>
      </c>
      <c r="G210" s="127"/>
      <c r="H210" s="127"/>
      <c r="I210" s="270">
        <f>I211+I212</f>
        <v>200</v>
      </c>
      <c r="J210" s="270">
        <f>J211+J212</f>
        <v>123.69999999999999</v>
      </c>
      <c r="K210" s="263">
        <f t="shared" si="17"/>
        <v>61.849999999999994</v>
      </c>
    </row>
    <row r="211" spans="1:11" ht="30.75" customHeight="1">
      <c r="A211" s="212" t="s">
        <v>133</v>
      </c>
      <c r="B211" s="122" t="s">
        <v>67</v>
      </c>
      <c r="C211" s="7" t="s">
        <v>46</v>
      </c>
      <c r="D211" s="7" t="s">
        <v>8</v>
      </c>
      <c r="E211" s="7" t="s">
        <v>1</v>
      </c>
      <c r="F211" s="101" t="s">
        <v>135</v>
      </c>
      <c r="G211" s="128"/>
      <c r="H211" s="128"/>
      <c r="I211" s="267">
        <v>114.5</v>
      </c>
      <c r="J211" s="319">
        <v>93.3</v>
      </c>
      <c r="K211" s="263">
        <f t="shared" si="17"/>
        <v>81.48471615720524</v>
      </c>
    </row>
    <row r="212" spans="1:11" ht="32.25" customHeight="1">
      <c r="A212" s="121" t="s">
        <v>142</v>
      </c>
      <c r="B212" s="122" t="s">
        <v>67</v>
      </c>
      <c r="C212" s="7" t="s">
        <v>46</v>
      </c>
      <c r="D212" s="7" t="s">
        <v>8</v>
      </c>
      <c r="E212" s="7" t="s">
        <v>1</v>
      </c>
      <c r="F212" s="101" t="s">
        <v>129</v>
      </c>
      <c r="G212" s="128"/>
      <c r="H212" s="128"/>
      <c r="I212" s="267">
        <v>85.5</v>
      </c>
      <c r="J212" s="319">
        <v>30.4</v>
      </c>
      <c r="K212" s="263">
        <f t="shared" si="17"/>
        <v>35.55555555555555</v>
      </c>
    </row>
    <row r="213" spans="1:11" ht="46.5" customHeight="1">
      <c r="A213" s="280" t="s">
        <v>192</v>
      </c>
      <c r="B213" s="281" t="s">
        <v>67</v>
      </c>
      <c r="C213" s="282" t="s">
        <v>46</v>
      </c>
      <c r="D213" s="282" t="s">
        <v>8</v>
      </c>
      <c r="E213" s="282" t="s">
        <v>230</v>
      </c>
      <c r="F213" s="283" t="s">
        <v>7</v>
      </c>
      <c r="G213" s="284"/>
      <c r="H213" s="284"/>
      <c r="I213" s="285">
        <f>I214</f>
        <v>18</v>
      </c>
      <c r="J213" s="285">
        <f>J214</f>
        <v>0</v>
      </c>
      <c r="K213" s="263">
        <f t="shared" si="17"/>
        <v>0</v>
      </c>
    </row>
    <row r="214" spans="1:14" ht="58.5" customHeight="1">
      <c r="A214" s="226" t="s">
        <v>193</v>
      </c>
      <c r="B214" s="122" t="s">
        <v>67</v>
      </c>
      <c r="C214" s="7" t="s">
        <v>46</v>
      </c>
      <c r="D214" s="7" t="s">
        <v>8</v>
      </c>
      <c r="E214" s="7" t="s">
        <v>231</v>
      </c>
      <c r="F214" s="101" t="s">
        <v>7</v>
      </c>
      <c r="G214" s="128"/>
      <c r="H214" s="128"/>
      <c r="I214" s="267">
        <f>I215</f>
        <v>18</v>
      </c>
      <c r="J214" s="267">
        <f>J215</f>
        <v>0</v>
      </c>
      <c r="K214" s="263">
        <f t="shared" si="17"/>
        <v>0</v>
      </c>
      <c r="N214" s="176"/>
    </row>
    <row r="215" spans="1:11" ht="38.25" customHeight="1">
      <c r="A215" s="121" t="s">
        <v>142</v>
      </c>
      <c r="B215" s="122" t="s">
        <v>67</v>
      </c>
      <c r="C215" s="7" t="s">
        <v>46</v>
      </c>
      <c r="D215" s="7" t="s">
        <v>8</v>
      </c>
      <c r="E215" s="7" t="s">
        <v>231</v>
      </c>
      <c r="F215" s="101" t="s">
        <v>129</v>
      </c>
      <c r="G215" s="128"/>
      <c r="H215" s="128"/>
      <c r="I215" s="267">
        <v>18</v>
      </c>
      <c r="J215" s="128"/>
      <c r="K215" s="263">
        <f t="shared" si="17"/>
        <v>0</v>
      </c>
    </row>
    <row r="216" spans="1:11" ht="81" customHeight="1">
      <c r="A216" s="204" t="s">
        <v>217</v>
      </c>
      <c r="B216" s="122" t="s">
        <v>67</v>
      </c>
      <c r="C216" s="7" t="s">
        <v>46</v>
      </c>
      <c r="D216" s="7" t="s">
        <v>8</v>
      </c>
      <c r="E216" s="7" t="s">
        <v>220</v>
      </c>
      <c r="F216" s="92" t="s">
        <v>7</v>
      </c>
      <c r="G216" s="128"/>
      <c r="H216" s="128"/>
      <c r="I216" s="267">
        <f>I217</f>
        <v>15</v>
      </c>
      <c r="J216" s="267">
        <f>J217</f>
        <v>0</v>
      </c>
      <c r="K216" s="263">
        <f t="shared" si="17"/>
        <v>0</v>
      </c>
    </row>
    <row r="217" spans="1:11" ht="39" customHeight="1">
      <c r="A217" s="121" t="s">
        <v>142</v>
      </c>
      <c r="B217" s="122" t="s">
        <v>67</v>
      </c>
      <c r="C217" s="7" t="s">
        <v>46</v>
      </c>
      <c r="D217" s="7" t="s">
        <v>8</v>
      </c>
      <c r="E217" s="7" t="s">
        <v>220</v>
      </c>
      <c r="F217" s="92" t="s">
        <v>129</v>
      </c>
      <c r="G217" s="128"/>
      <c r="H217" s="128"/>
      <c r="I217" s="267">
        <v>15</v>
      </c>
      <c r="J217" s="128"/>
      <c r="K217" s="263">
        <f t="shared" si="17"/>
        <v>0</v>
      </c>
    </row>
    <row r="218" spans="1:11" ht="36.75" customHeight="1">
      <c r="A218" s="17" t="s">
        <v>121</v>
      </c>
      <c r="B218" s="102" t="s">
        <v>67</v>
      </c>
      <c r="C218" s="21" t="s">
        <v>46</v>
      </c>
      <c r="D218" s="21" t="s">
        <v>15</v>
      </c>
      <c r="E218" s="21" t="s">
        <v>29</v>
      </c>
      <c r="F218" s="21" t="s">
        <v>7</v>
      </c>
      <c r="G218" s="76" t="e">
        <f aca="true" t="shared" si="18" ref="G218:J219">G219</f>
        <v>#REF!</v>
      </c>
      <c r="H218" s="76" t="e">
        <f t="shared" si="18"/>
        <v>#REF!</v>
      </c>
      <c r="I218" s="263">
        <f t="shared" si="18"/>
        <v>470</v>
      </c>
      <c r="J218" s="263">
        <f t="shared" si="18"/>
        <v>368.30000000000007</v>
      </c>
      <c r="K218" s="263">
        <f t="shared" si="17"/>
        <v>78.3617021276596</v>
      </c>
    </row>
    <row r="219" spans="1:11" ht="78.75" customHeight="1">
      <c r="A219" s="212" t="s">
        <v>59</v>
      </c>
      <c r="B219" s="118" t="s">
        <v>67</v>
      </c>
      <c r="C219" s="63" t="s">
        <v>46</v>
      </c>
      <c r="D219" s="63" t="s">
        <v>15</v>
      </c>
      <c r="E219" s="63" t="s">
        <v>65</v>
      </c>
      <c r="F219" s="63" t="s">
        <v>7</v>
      </c>
      <c r="G219" s="72" t="e">
        <f t="shared" si="18"/>
        <v>#REF!</v>
      </c>
      <c r="H219" s="72" t="e">
        <f t="shared" si="18"/>
        <v>#REF!</v>
      </c>
      <c r="I219" s="266">
        <f t="shared" si="18"/>
        <v>470</v>
      </c>
      <c r="J219" s="266">
        <f t="shared" si="18"/>
        <v>368.30000000000007</v>
      </c>
      <c r="K219" s="263">
        <f t="shared" si="17"/>
        <v>78.3617021276596</v>
      </c>
    </row>
    <row r="220" spans="1:11" ht="30" customHeight="1">
      <c r="A220" s="212" t="s">
        <v>18</v>
      </c>
      <c r="B220" s="118" t="s">
        <v>67</v>
      </c>
      <c r="C220" s="63" t="s">
        <v>46</v>
      </c>
      <c r="D220" s="63" t="s">
        <v>15</v>
      </c>
      <c r="E220" s="63" t="s">
        <v>66</v>
      </c>
      <c r="F220" s="63" t="s">
        <v>7</v>
      </c>
      <c r="G220" s="72" t="e">
        <f>#REF!</f>
        <v>#REF!</v>
      </c>
      <c r="H220" s="72" t="e">
        <f>#REF!</f>
        <v>#REF!</v>
      </c>
      <c r="I220" s="266">
        <f>I221+I222+I223+I224</f>
        <v>470</v>
      </c>
      <c r="J220" s="266">
        <f>J221+J222+J223+J224</f>
        <v>368.30000000000007</v>
      </c>
      <c r="K220" s="263">
        <f t="shared" si="17"/>
        <v>78.3617021276596</v>
      </c>
    </row>
    <row r="221" spans="1:11" ht="23.25" customHeight="1">
      <c r="A221" s="212" t="s">
        <v>133</v>
      </c>
      <c r="B221" s="118" t="s">
        <v>67</v>
      </c>
      <c r="C221" s="63" t="s">
        <v>46</v>
      </c>
      <c r="D221" s="63" t="s">
        <v>15</v>
      </c>
      <c r="E221" s="63" t="s">
        <v>66</v>
      </c>
      <c r="F221" s="120" t="s">
        <v>127</v>
      </c>
      <c r="G221" s="77"/>
      <c r="H221" s="77"/>
      <c r="I221" s="266">
        <v>394</v>
      </c>
      <c r="J221" s="315">
        <v>341.1</v>
      </c>
      <c r="K221" s="263">
        <f t="shared" si="17"/>
        <v>86.57360406091371</v>
      </c>
    </row>
    <row r="222" spans="1:11" ht="30" customHeight="1">
      <c r="A222" s="121" t="s">
        <v>142</v>
      </c>
      <c r="B222" s="118" t="s">
        <v>67</v>
      </c>
      <c r="C222" s="63" t="s">
        <v>46</v>
      </c>
      <c r="D222" s="63" t="s">
        <v>15</v>
      </c>
      <c r="E222" s="63" t="s">
        <v>66</v>
      </c>
      <c r="F222" s="120" t="s">
        <v>129</v>
      </c>
      <c r="G222" s="77"/>
      <c r="H222" s="77"/>
      <c r="I222" s="266">
        <f>69-0.051</f>
        <v>68.949</v>
      </c>
      <c r="J222" s="315">
        <v>24.8</v>
      </c>
      <c r="K222" s="263">
        <f t="shared" si="17"/>
        <v>35.96861448316872</v>
      </c>
    </row>
    <row r="223" spans="1:11" ht="28.5" customHeight="1">
      <c r="A223" s="212" t="s">
        <v>131</v>
      </c>
      <c r="B223" s="118" t="s">
        <v>67</v>
      </c>
      <c r="C223" s="63" t="s">
        <v>46</v>
      </c>
      <c r="D223" s="63" t="s">
        <v>15</v>
      </c>
      <c r="E223" s="63" t="s">
        <v>66</v>
      </c>
      <c r="F223" s="120" t="s">
        <v>130</v>
      </c>
      <c r="G223" s="72"/>
      <c r="H223" s="72"/>
      <c r="I223" s="277">
        <v>0.051</v>
      </c>
      <c r="J223" s="315">
        <v>0.1</v>
      </c>
      <c r="K223" s="263">
        <f t="shared" si="17"/>
        <v>196.07843137254903</v>
      </c>
    </row>
    <row r="224" spans="1:11" ht="33.75" customHeight="1">
      <c r="A224" s="212" t="s">
        <v>138</v>
      </c>
      <c r="B224" s="160" t="s">
        <v>67</v>
      </c>
      <c r="C224" s="120" t="s">
        <v>46</v>
      </c>
      <c r="D224" s="120" t="s">
        <v>15</v>
      </c>
      <c r="E224" s="120" t="s">
        <v>66</v>
      </c>
      <c r="F224" s="120" t="s">
        <v>137</v>
      </c>
      <c r="G224" s="72"/>
      <c r="H224" s="72"/>
      <c r="I224" s="277">
        <v>7</v>
      </c>
      <c r="J224" s="315">
        <v>2.3</v>
      </c>
      <c r="K224" s="263">
        <f t="shared" si="17"/>
        <v>32.857142857142854</v>
      </c>
    </row>
    <row r="225" spans="1:11" ht="48.75" customHeight="1">
      <c r="A225" s="205" t="s">
        <v>106</v>
      </c>
      <c r="B225" s="129" t="s">
        <v>77</v>
      </c>
      <c r="C225" s="130" t="s">
        <v>16</v>
      </c>
      <c r="D225" s="130" t="s">
        <v>16</v>
      </c>
      <c r="E225" s="130" t="s">
        <v>29</v>
      </c>
      <c r="F225" s="130" t="s">
        <v>7</v>
      </c>
      <c r="G225" s="136" t="e">
        <f>G226+#REF!+#REF!</f>
        <v>#REF!</v>
      </c>
      <c r="H225" s="136">
        <v>35429</v>
      </c>
      <c r="I225" s="263">
        <f>I226+I347</f>
        <v>125049.99999999999</v>
      </c>
      <c r="J225" s="263">
        <f>J226+J347</f>
        <v>86532</v>
      </c>
      <c r="K225" s="263">
        <f t="shared" si="17"/>
        <v>69.19792083166733</v>
      </c>
    </row>
    <row r="226" spans="1:11" ht="18.75" customHeight="1">
      <c r="A226" s="217" t="s">
        <v>12</v>
      </c>
      <c r="B226" s="116" t="s">
        <v>77</v>
      </c>
      <c r="C226" s="15" t="s">
        <v>11</v>
      </c>
      <c r="D226" s="15" t="s">
        <v>26</v>
      </c>
      <c r="E226" s="15" t="s">
        <v>29</v>
      </c>
      <c r="F226" s="15" t="s">
        <v>7</v>
      </c>
      <c r="G226" s="68" t="e">
        <f>G227+G248+G302+#REF!</f>
        <v>#REF!</v>
      </c>
      <c r="H226" s="68" t="e">
        <f>H227+H248+H302+#REF!</f>
        <v>#REF!</v>
      </c>
      <c r="I226" s="263">
        <f>I227+I248+I293+I302</f>
        <v>110755.89999999998</v>
      </c>
      <c r="J226" s="263">
        <f>J227+J248+J293+J302</f>
        <v>75303.5</v>
      </c>
      <c r="K226" s="263">
        <f t="shared" si="17"/>
        <v>67.99050885776741</v>
      </c>
    </row>
    <row r="227" spans="1:11" ht="22.5" customHeight="1">
      <c r="A227" s="222" t="s">
        <v>35</v>
      </c>
      <c r="B227" s="116" t="s">
        <v>77</v>
      </c>
      <c r="C227" s="15" t="s">
        <v>11</v>
      </c>
      <c r="D227" s="15" t="s">
        <v>8</v>
      </c>
      <c r="E227" s="15" t="s">
        <v>29</v>
      </c>
      <c r="F227" s="15" t="s">
        <v>7</v>
      </c>
      <c r="G227" s="76" t="e">
        <f>G228</f>
        <v>#REF!</v>
      </c>
      <c r="H227" s="76" t="e">
        <f>H228</f>
        <v>#REF!</v>
      </c>
      <c r="I227" s="263">
        <f>I228+I237+I241</f>
        <v>17382.1</v>
      </c>
      <c r="J227" s="263">
        <f>J228+J237+J241</f>
        <v>14072.9</v>
      </c>
      <c r="K227" s="263">
        <f t="shared" si="17"/>
        <v>80.96202415128208</v>
      </c>
    </row>
    <row r="228" spans="1:11" ht="27" customHeight="1">
      <c r="A228" s="222" t="s">
        <v>36</v>
      </c>
      <c r="B228" s="116" t="s">
        <v>77</v>
      </c>
      <c r="C228" s="15" t="s">
        <v>11</v>
      </c>
      <c r="D228" s="15" t="s">
        <v>8</v>
      </c>
      <c r="E228" s="15" t="s">
        <v>37</v>
      </c>
      <c r="F228" s="15" t="s">
        <v>7</v>
      </c>
      <c r="G228" s="44" t="e">
        <f>G229+#REF!</f>
        <v>#REF!</v>
      </c>
      <c r="H228" s="44" t="e">
        <f>H229+#REF!</f>
        <v>#REF!</v>
      </c>
      <c r="I228" s="263">
        <f>I229</f>
        <v>7623.099999999999</v>
      </c>
      <c r="J228" s="263">
        <f>J229</f>
        <v>5928.2</v>
      </c>
      <c r="K228" s="263">
        <f t="shared" si="17"/>
        <v>77.76626306883027</v>
      </c>
    </row>
    <row r="229" spans="1:11" ht="36.75" customHeight="1">
      <c r="A229" s="16" t="s">
        <v>20</v>
      </c>
      <c r="B229" s="106" t="s">
        <v>77</v>
      </c>
      <c r="C229" s="32" t="s">
        <v>11</v>
      </c>
      <c r="D229" s="32" t="s">
        <v>8</v>
      </c>
      <c r="E229" s="32" t="s">
        <v>78</v>
      </c>
      <c r="F229" s="32" t="s">
        <v>7</v>
      </c>
      <c r="G229" s="48">
        <f>G230</f>
        <v>0</v>
      </c>
      <c r="H229" s="48">
        <f>H230</f>
        <v>14355.6</v>
      </c>
      <c r="I229" s="264">
        <f>I230+I231+I232+I233+I234+I235</f>
        <v>7623.099999999999</v>
      </c>
      <c r="J229" s="264">
        <f>J230+J231+J232+J233+J234+J235</f>
        <v>5928.2</v>
      </c>
      <c r="K229" s="263">
        <f t="shared" si="17"/>
        <v>77.76626306883027</v>
      </c>
    </row>
    <row r="230" spans="1:11" ht="28.5" customHeight="1">
      <c r="A230" s="212" t="s">
        <v>133</v>
      </c>
      <c r="B230" s="106" t="s">
        <v>77</v>
      </c>
      <c r="C230" s="32" t="s">
        <v>11</v>
      </c>
      <c r="D230" s="32" t="s">
        <v>8</v>
      </c>
      <c r="E230" s="32" t="s">
        <v>78</v>
      </c>
      <c r="F230" s="94" t="s">
        <v>135</v>
      </c>
      <c r="G230" s="48"/>
      <c r="H230" s="48">
        <v>14355.6</v>
      </c>
      <c r="I230" s="264">
        <v>1649.2</v>
      </c>
      <c r="J230" s="318">
        <v>1351.5</v>
      </c>
      <c r="K230" s="263">
        <f t="shared" si="17"/>
        <v>81.94882367208344</v>
      </c>
    </row>
    <row r="231" spans="1:11" ht="34.5" customHeight="1">
      <c r="A231" s="121" t="s">
        <v>132</v>
      </c>
      <c r="B231" s="106" t="s">
        <v>77</v>
      </c>
      <c r="C231" s="32" t="s">
        <v>11</v>
      </c>
      <c r="D231" s="32" t="s">
        <v>8</v>
      </c>
      <c r="E231" s="32" t="s">
        <v>78</v>
      </c>
      <c r="F231" s="94" t="s">
        <v>136</v>
      </c>
      <c r="G231" s="48"/>
      <c r="H231" s="48"/>
      <c r="I231" s="264">
        <v>12</v>
      </c>
      <c r="J231" s="264">
        <v>7.8</v>
      </c>
      <c r="K231" s="263">
        <f t="shared" si="17"/>
        <v>65</v>
      </c>
    </row>
    <row r="232" spans="1:11" ht="34.5" customHeight="1">
      <c r="A232" s="121" t="s">
        <v>142</v>
      </c>
      <c r="B232" s="106" t="s">
        <v>77</v>
      </c>
      <c r="C232" s="32" t="s">
        <v>11</v>
      </c>
      <c r="D232" s="32" t="s">
        <v>8</v>
      </c>
      <c r="E232" s="32" t="s">
        <v>78</v>
      </c>
      <c r="F232" s="94" t="s">
        <v>129</v>
      </c>
      <c r="G232" s="48"/>
      <c r="H232" s="48"/>
      <c r="I232" s="264">
        <v>1215.1</v>
      </c>
      <c r="J232" s="264">
        <v>699.7</v>
      </c>
      <c r="K232" s="263">
        <f t="shared" si="17"/>
        <v>57.583737963953595</v>
      </c>
    </row>
    <row r="233" spans="1:11" ht="67.5" customHeight="1">
      <c r="A233" s="121" t="s">
        <v>145</v>
      </c>
      <c r="B233" s="106" t="s">
        <v>77</v>
      </c>
      <c r="C233" s="32" t="s">
        <v>11</v>
      </c>
      <c r="D233" s="32" t="s">
        <v>8</v>
      </c>
      <c r="E233" s="32" t="s">
        <v>78</v>
      </c>
      <c r="F233" s="94" t="s">
        <v>141</v>
      </c>
      <c r="G233" s="48"/>
      <c r="H233" s="48"/>
      <c r="I233" s="264">
        <v>4644.7</v>
      </c>
      <c r="J233" s="318">
        <v>3787.2</v>
      </c>
      <c r="K233" s="263">
        <f t="shared" si="17"/>
        <v>81.53809718604</v>
      </c>
    </row>
    <row r="234" spans="1:11" ht="29.25" customHeight="1">
      <c r="A234" s="212" t="s">
        <v>131</v>
      </c>
      <c r="B234" s="106" t="s">
        <v>77</v>
      </c>
      <c r="C234" s="32" t="s">
        <v>11</v>
      </c>
      <c r="D234" s="32" t="s">
        <v>8</v>
      </c>
      <c r="E234" s="32" t="s">
        <v>78</v>
      </c>
      <c r="F234" s="120" t="s">
        <v>130</v>
      </c>
      <c r="G234" s="48"/>
      <c r="H234" s="48"/>
      <c r="I234" s="264">
        <v>95.4</v>
      </c>
      <c r="J234" s="318">
        <v>77.5</v>
      </c>
      <c r="K234" s="263">
        <f t="shared" si="17"/>
        <v>81.23689727463312</v>
      </c>
    </row>
    <row r="235" spans="1:11" ht="37.5" customHeight="1">
      <c r="A235" s="212" t="s">
        <v>138</v>
      </c>
      <c r="B235" s="153" t="s">
        <v>77</v>
      </c>
      <c r="C235" s="98" t="s">
        <v>11</v>
      </c>
      <c r="D235" s="98" t="s">
        <v>8</v>
      </c>
      <c r="E235" s="98" t="s">
        <v>78</v>
      </c>
      <c r="F235" s="120" t="s">
        <v>137</v>
      </c>
      <c r="G235" s="48"/>
      <c r="H235" s="48"/>
      <c r="I235" s="264">
        <v>6.7</v>
      </c>
      <c r="J235" s="318">
        <v>4.5</v>
      </c>
      <c r="K235" s="263">
        <f t="shared" si="17"/>
        <v>67.16417910447761</v>
      </c>
    </row>
    <row r="236" spans="1:11" ht="83.25" customHeight="1">
      <c r="A236" s="212" t="s">
        <v>263</v>
      </c>
      <c r="B236" s="153" t="s">
        <v>77</v>
      </c>
      <c r="C236" s="98" t="s">
        <v>11</v>
      </c>
      <c r="D236" s="98" t="s">
        <v>8</v>
      </c>
      <c r="E236" s="98" t="s">
        <v>264</v>
      </c>
      <c r="F236" s="120" t="s">
        <v>7</v>
      </c>
      <c r="G236" s="48"/>
      <c r="H236" s="48"/>
      <c r="I236" s="264">
        <f>I237</f>
        <v>9672</v>
      </c>
      <c r="J236" s="264">
        <f>J237</f>
        <v>8057.7</v>
      </c>
      <c r="K236" s="263">
        <f t="shared" si="17"/>
        <v>83.30955334987593</v>
      </c>
    </row>
    <row r="237" spans="1:11" ht="59.25" customHeight="1">
      <c r="A237" s="121" t="s">
        <v>150</v>
      </c>
      <c r="B237" s="37">
        <v>574</v>
      </c>
      <c r="C237" s="98" t="s">
        <v>11</v>
      </c>
      <c r="D237" s="98" t="s">
        <v>8</v>
      </c>
      <c r="E237" s="98" t="s">
        <v>1</v>
      </c>
      <c r="F237" s="98" t="s">
        <v>7</v>
      </c>
      <c r="G237" s="48"/>
      <c r="H237" s="48"/>
      <c r="I237" s="264">
        <f>I238+I239+I240</f>
        <v>9672</v>
      </c>
      <c r="J237" s="264">
        <f>J238+J239+J240</f>
        <v>8057.7</v>
      </c>
      <c r="K237" s="263">
        <f t="shared" si="17"/>
        <v>83.30955334987593</v>
      </c>
    </row>
    <row r="238" spans="1:11" ht="32.25" customHeight="1">
      <c r="A238" s="212" t="s">
        <v>133</v>
      </c>
      <c r="B238" s="37">
        <v>574</v>
      </c>
      <c r="C238" s="98" t="s">
        <v>11</v>
      </c>
      <c r="D238" s="98" t="s">
        <v>8</v>
      </c>
      <c r="E238" s="98" t="s">
        <v>1</v>
      </c>
      <c r="F238" s="98" t="s">
        <v>135</v>
      </c>
      <c r="G238" s="48"/>
      <c r="H238" s="48"/>
      <c r="I238" s="264">
        <f>2700-400-400</f>
        <v>1900</v>
      </c>
      <c r="J238" s="318">
        <v>1475</v>
      </c>
      <c r="K238" s="263">
        <f t="shared" si="17"/>
        <v>77.63157894736842</v>
      </c>
    </row>
    <row r="239" spans="1:11" ht="39" customHeight="1">
      <c r="A239" s="121" t="s">
        <v>142</v>
      </c>
      <c r="B239" s="37">
        <v>574</v>
      </c>
      <c r="C239" s="98" t="s">
        <v>11</v>
      </c>
      <c r="D239" s="98" t="s">
        <v>8</v>
      </c>
      <c r="E239" s="98" t="s">
        <v>1</v>
      </c>
      <c r="F239" s="98" t="s">
        <v>129</v>
      </c>
      <c r="G239" s="48"/>
      <c r="H239" s="48"/>
      <c r="I239" s="264">
        <v>72</v>
      </c>
      <c r="J239" s="318">
        <v>68.2</v>
      </c>
      <c r="K239" s="263">
        <f t="shared" si="17"/>
        <v>94.72222222222223</v>
      </c>
    </row>
    <row r="240" spans="1:11" ht="68.25" customHeight="1">
      <c r="A240" s="121" t="s">
        <v>145</v>
      </c>
      <c r="B240" s="37">
        <v>574</v>
      </c>
      <c r="C240" s="98" t="s">
        <v>11</v>
      </c>
      <c r="D240" s="98" t="s">
        <v>8</v>
      </c>
      <c r="E240" s="98" t="s">
        <v>1</v>
      </c>
      <c r="F240" s="98" t="s">
        <v>141</v>
      </c>
      <c r="G240" s="48"/>
      <c r="H240" s="48"/>
      <c r="I240" s="264">
        <v>7700</v>
      </c>
      <c r="J240" s="318">
        <v>6514.5</v>
      </c>
      <c r="K240" s="263">
        <f t="shared" si="17"/>
        <v>84.6038961038961</v>
      </c>
    </row>
    <row r="241" spans="1:11" ht="126.75" customHeight="1">
      <c r="A241" s="212" t="s">
        <v>158</v>
      </c>
      <c r="B241" s="153" t="s">
        <v>77</v>
      </c>
      <c r="C241" s="98" t="s">
        <v>11</v>
      </c>
      <c r="D241" s="98" t="s">
        <v>8</v>
      </c>
      <c r="E241" s="98" t="s">
        <v>159</v>
      </c>
      <c r="F241" s="120" t="s">
        <v>7</v>
      </c>
      <c r="G241" s="48"/>
      <c r="H241" s="48"/>
      <c r="I241" s="264">
        <f>I242+I245</f>
        <v>86.99999999999999</v>
      </c>
      <c r="J241" s="264">
        <f>J242+J245</f>
        <v>87</v>
      </c>
      <c r="K241" s="263">
        <f t="shared" si="17"/>
        <v>100.00000000000003</v>
      </c>
    </row>
    <row r="242" spans="1:11" ht="75" customHeight="1">
      <c r="A242" s="212" t="s">
        <v>183</v>
      </c>
      <c r="B242" s="153" t="s">
        <v>77</v>
      </c>
      <c r="C242" s="98" t="s">
        <v>11</v>
      </c>
      <c r="D242" s="98" t="s">
        <v>8</v>
      </c>
      <c r="E242" s="98" t="s">
        <v>184</v>
      </c>
      <c r="F242" s="120" t="s">
        <v>7</v>
      </c>
      <c r="G242" s="48"/>
      <c r="H242" s="48"/>
      <c r="I242" s="264">
        <f>I243+I244</f>
        <v>67.19999999999999</v>
      </c>
      <c r="J242" s="264">
        <f>J243+J244</f>
        <v>67.2</v>
      </c>
      <c r="K242" s="263">
        <f t="shared" si="17"/>
        <v>100.00000000000003</v>
      </c>
    </row>
    <row r="243" spans="1:11" ht="60.75" customHeight="1">
      <c r="A243" s="121" t="s">
        <v>145</v>
      </c>
      <c r="B243" s="153" t="s">
        <v>77</v>
      </c>
      <c r="C243" s="98" t="s">
        <v>11</v>
      </c>
      <c r="D243" s="98" t="s">
        <v>8</v>
      </c>
      <c r="E243" s="98" t="s">
        <v>184</v>
      </c>
      <c r="F243" s="120" t="s">
        <v>141</v>
      </c>
      <c r="G243" s="48"/>
      <c r="H243" s="48"/>
      <c r="I243" s="264">
        <f>44.8-0.7</f>
        <v>44.099999999999994</v>
      </c>
      <c r="J243" s="318">
        <v>44.1</v>
      </c>
      <c r="K243" s="263">
        <f t="shared" si="17"/>
        <v>100.00000000000003</v>
      </c>
    </row>
    <row r="244" spans="1:11" ht="34.5" customHeight="1">
      <c r="A244" s="157" t="s">
        <v>289</v>
      </c>
      <c r="B244" s="153" t="s">
        <v>77</v>
      </c>
      <c r="C244" s="98" t="s">
        <v>11</v>
      </c>
      <c r="D244" s="98" t="s">
        <v>8</v>
      </c>
      <c r="E244" s="98" t="s">
        <v>184</v>
      </c>
      <c r="F244" s="120" t="s">
        <v>290</v>
      </c>
      <c r="G244" s="48"/>
      <c r="H244" s="48"/>
      <c r="I244" s="264">
        <v>23.1</v>
      </c>
      <c r="J244" s="318">
        <v>23.1</v>
      </c>
      <c r="K244" s="263">
        <f t="shared" si="17"/>
        <v>100</v>
      </c>
    </row>
    <row r="245" spans="1:11" ht="46.5" customHeight="1">
      <c r="A245" s="121" t="s">
        <v>214</v>
      </c>
      <c r="B245" s="153" t="s">
        <v>77</v>
      </c>
      <c r="C245" s="98" t="s">
        <v>11</v>
      </c>
      <c r="D245" s="98" t="s">
        <v>8</v>
      </c>
      <c r="E245" s="98" t="s">
        <v>215</v>
      </c>
      <c r="F245" s="120" t="s">
        <v>7</v>
      </c>
      <c r="G245" s="48"/>
      <c r="H245" s="48"/>
      <c r="I245" s="264">
        <f>I246+I247</f>
        <v>19.8</v>
      </c>
      <c r="J245" s="264">
        <f>J246+J247</f>
        <v>19.8</v>
      </c>
      <c r="K245" s="263">
        <f t="shared" si="17"/>
        <v>100</v>
      </c>
    </row>
    <row r="246" spans="1:11" ht="29.25" customHeight="1">
      <c r="A246" s="121" t="s">
        <v>181</v>
      </c>
      <c r="B246" s="153" t="s">
        <v>77</v>
      </c>
      <c r="C246" s="98" t="s">
        <v>11</v>
      </c>
      <c r="D246" s="98" t="s">
        <v>8</v>
      </c>
      <c r="E246" s="98" t="s">
        <v>215</v>
      </c>
      <c r="F246" s="120" t="s">
        <v>182</v>
      </c>
      <c r="G246" s="48"/>
      <c r="H246" s="48"/>
      <c r="I246" s="264">
        <v>3.3</v>
      </c>
      <c r="J246" s="318">
        <v>3.3</v>
      </c>
      <c r="K246" s="263">
        <f t="shared" si="17"/>
        <v>100</v>
      </c>
    </row>
    <row r="247" spans="1:11" ht="33" customHeight="1">
      <c r="A247" s="157" t="s">
        <v>289</v>
      </c>
      <c r="B247" s="153" t="s">
        <v>77</v>
      </c>
      <c r="C247" s="98" t="s">
        <v>11</v>
      </c>
      <c r="D247" s="98" t="s">
        <v>8</v>
      </c>
      <c r="E247" s="98" t="s">
        <v>215</v>
      </c>
      <c r="F247" s="120" t="s">
        <v>290</v>
      </c>
      <c r="G247" s="48"/>
      <c r="H247" s="48"/>
      <c r="I247" s="264">
        <f>13.2+3.3</f>
        <v>16.5</v>
      </c>
      <c r="J247" s="318">
        <v>16.5</v>
      </c>
      <c r="K247" s="263">
        <f t="shared" si="17"/>
        <v>100</v>
      </c>
    </row>
    <row r="248" spans="1:12" ht="29.25" customHeight="1">
      <c r="A248" s="288" t="s">
        <v>13</v>
      </c>
      <c r="B248" s="105" t="s">
        <v>77</v>
      </c>
      <c r="C248" s="29" t="s">
        <v>11</v>
      </c>
      <c r="D248" s="29" t="s">
        <v>10</v>
      </c>
      <c r="E248" s="29" t="s">
        <v>29</v>
      </c>
      <c r="F248" s="29" t="s">
        <v>7</v>
      </c>
      <c r="G248" s="46" t="e">
        <f>G249+G256+#REF!+#REF!+#REF!+#REF!</f>
        <v>#REF!</v>
      </c>
      <c r="H248" s="46" t="e">
        <f>H249+H256+#REF!+#REF!+#REF!+#REF!</f>
        <v>#REF!</v>
      </c>
      <c r="I248" s="263">
        <f>I249+I256+I260+I265+I269+I272+I285</f>
        <v>90151.09999999999</v>
      </c>
      <c r="J248" s="263">
        <f>J249+J256+J260+J265+J269+J272+J285</f>
        <v>58652.2</v>
      </c>
      <c r="K248" s="263">
        <f t="shared" si="17"/>
        <v>65.0598827967712</v>
      </c>
      <c r="L248" s="13"/>
    </row>
    <row r="249" spans="1:11" ht="29.25" customHeight="1">
      <c r="A249" s="17" t="s">
        <v>284</v>
      </c>
      <c r="B249" s="106" t="s">
        <v>77</v>
      </c>
      <c r="C249" s="32" t="s">
        <v>11</v>
      </c>
      <c r="D249" s="32" t="s">
        <v>10</v>
      </c>
      <c r="E249" s="32" t="s">
        <v>38</v>
      </c>
      <c r="F249" s="32" t="s">
        <v>7</v>
      </c>
      <c r="G249" s="48">
        <f>G250</f>
        <v>0</v>
      </c>
      <c r="H249" s="48">
        <f>H250</f>
        <v>16672.2</v>
      </c>
      <c r="I249" s="263">
        <f>I250</f>
        <v>11014.9</v>
      </c>
      <c r="J249" s="263">
        <f>J250</f>
        <v>6473.2</v>
      </c>
      <c r="K249" s="263">
        <f t="shared" si="17"/>
        <v>58.76766924801859</v>
      </c>
    </row>
    <row r="250" spans="1:11" ht="32.25" customHeight="1">
      <c r="A250" s="14" t="s">
        <v>20</v>
      </c>
      <c r="B250" s="166" t="s">
        <v>77</v>
      </c>
      <c r="C250" s="101" t="s">
        <v>11</v>
      </c>
      <c r="D250" s="101" t="s">
        <v>10</v>
      </c>
      <c r="E250" s="101" t="s">
        <v>79</v>
      </c>
      <c r="F250" s="101" t="s">
        <v>7</v>
      </c>
      <c r="G250" s="74">
        <f>G255</f>
        <v>0</v>
      </c>
      <c r="H250" s="74">
        <f>H255</f>
        <v>16672.2</v>
      </c>
      <c r="I250" s="264">
        <f>I251+I252+I253+I254+I255</f>
        <v>11014.9</v>
      </c>
      <c r="J250" s="264">
        <f>J251+J252+J253+J254+J255</f>
        <v>6473.2</v>
      </c>
      <c r="K250" s="263">
        <f t="shared" si="17"/>
        <v>58.76766924801859</v>
      </c>
    </row>
    <row r="251" spans="1:11" ht="26.25" customHeight="1">
      <c r="A251" s="212" t="s">
        <v>133</v>
      </c>
      <c r="B251" s="166" t="s">
        <v>77</v>
      </c>
      <c r="C251" s="101" t="s">
        <v>11</v>
      </c>
      <c r="D251" s="101" t="s">
        <v>10</v>
      </c>
      <c r="E251" s="101" t="s">
        <v>79</v>
      </c>
      <c r="F251" s="173" t="s">
        <v>135</v>
      </c>
      <c r="G251" s="74"/>
      <c r="H251" s="74"/>
      <c r="I251" s="270">
        <v>2593.3</v>
      </c>
      <c r="J251" s="318">
        <v>1759.1</v>
      </c>
      <c r="K251" s="263">
        <f t="shared" si="17"/>
        <v>67.8324914201982</v>
      </c>
    </row>
    <row r="252" spans="1:11" ht="28.5" customHeight="1">
      <c r="A252" s="121" t="s">
        <v>142</v>
      </c>
      <c r="B252" s="166" t="s">
        <v>77</v>
      </c>
      <c r="C252" s="101" t="s">
        <v>11</v>
      </c>
      <c r="D252" s="101" t="s">
        <v>10</v>
      </c>
      <c r="E252" s="101" t="s">
        <v>79</v>
      </c>
      <c r="F252" s="173" t="s">
        <v>129</v>
      </c>
      <c r="G252" s="74"/>
      <c r="H252" s="74"/>
      <c r="I252" s="264">
        <v>4164.3</v>
      </c>
      <c r="J252" s="318">
        <v>2616</v>
      </c>
      <c r="K252" s="263">
        <f t="shared" si="17"/>
        <v>62.81968157913694</v>
      </c>
    </row>
    <row r="253" spans="1:11" ht="62.25" customHeight="1">
      <c r="A253" s="121" t="s">
        <v>145</v>
      </c>
      <c r="B253" s="166" t="s">
        <v>77</v>
      </c>
      <c r="C253" s="101" t="s">
        <v>11</v>
      </c>
      <c r="D253" s="101" t="s">
        <v>10</v>
      </c>
      <c r="E253" s="101" t="s">
        <v>79</v>
      </c>
      <c r="F253" s="173" t="s">
        <v>141</v>
      </c>
      <c r="G253" s="74"/>
      <c r="H253" s="74"/>
      <c r="I253" s="264">
        <f>3694.4+100</f>
        <v>3794.4</v>
      </c>
      <c r="J253" s="318">
        <v>1857.5</v>
      </c>
      <c r="K253" s="263">
        <f t="shared" si="17"/>
        <v>48.95372127345562</v>
      </c>
    </row>
    <row r="254" spans="1:11" ht="36" customHeight="1">
      <c r="A254" s="212" t="s">
        <v>131</v>
      </c>
      <c r="B254" s="166" t="s">
        <v>77</v>
      </c>
      <c r="C254" s="101" t="s">
        <v>11</v>
      </c>
      <c r="D254" s="101" t="s">
        <v>10</v>
      </c>
      <c r="E254" s="101" t="s">
        <v>79</v>
      </c>
      <c r="F254" s="173" t="s">
        <v>130</v>
      </c>
      <c r="G254" s="74"/>
      <c r="H254" s="74"/>
      <c r="I254" s="270">
        <v>417.4</v>
      </c>
      <c r="J254" s="318">
        <v>214.4</v>
      </c>
      <c r="K254" s="263">
        <f t="shared" si="17"/>
        <v>51.36559655007188</v>
      </c>
    </row>
    <row r="255" spans="1:11" ht="34.5" customHeight="1">
      <c r="A255" s="212" t="s">
        <v>138</v>
      </c>
      <c r="B255" s="166" t="s">
        <v>77</v>
      </c>
      <c r="C255" s="101" t="s">
        <v>11</v>
      </c>
      <c r="D255" s="101" t="s">
        <v>10</v>
      </c>
      <c r="E255" s="101" t="s">
        <v>79</v>
      </c>
      <c r="F255" s="173" t="s">
        <v>137</v>
      </c>
      <c r="G255" s="74"/>
      <c r="H255" s="74">
        <v>16672.2</v>
      </c>
      <c r="I255" s="264">
        <v>45.5</v>
      </c>
      <c r="J255" s="318">
        <v>26.2</v>
      </c>
      <c r="K255" s="263">
        <f t="shared" si="17"/>
        <v>57.58241758241758</v>
      </c>
    </row>
    <row r="256" spans="1:11" ht="31.5" customHeight="1">
      <c r="A256" s="222" t="s">
        <v>14</v>
      </c>
      <c r="B256" s="108" t="s">
        <v>77</v>
      </c>
      <c r="C256" s="12" t="s">
        <v>11</v>
      </c>
      <c r="D256" s="12" t="s">
        <v>10</v>
      </c>
      <c r="E256" s="12" t="s">
        <v>34</v>
      </c>
      <c r="F256" s="12" t="s">
        <v>7</v>
      </c>
      <c r="G256" s="71" t="e">
        <f>G257</f>
        <v>#REF!</v>
      </c>
      <c r="H256" s="71" t="e">
        <f>H257</f>
        <v>#REF!</v>
      </c>
      <c r="I256" s="263">
        <f>I257</f>
        <v>2193</v>
      </c>
      <c r="J256" s="263">
        <f>J257</f>
        <v>960.1</v>
      </c>
      <c r="K256" s="263">
        <f t="shared" si="17"/>
        <v>43.78020975832194</v>
      </c>
    </row>
    <row r="257" spans="1:11" ht="31.5" customHeight="1">
      <c r="A257" s="157" t="s">
        <v>20</v>
      </c>
      <c r="B257" s="108" t="s">
        <v>77</v>
      </c>
      <c r="C257" s="12" t="s">
        <v>11</v>
      </c>
      <c r="D257" s="12" t="s">
        <v>10</v>
      </c>
      <c r="E257" s="12" t="s">
        <v>68</v>
      </c>
      <c r="F257" s="12" t="s">
        <v>7</v>
      </c>
      <c r="G257" s="78" t="e">
        <f>#REF!</f>
        <v>#REF!</v>
      </c>
      <c r="H257" s="78" t="e">
        <f>#REF!</f>
        <v>#REF!</v>
      </c>
      <c r="I257" s="263">
        <f>I258+I259</f>
        <v>2193</v>
      </c>
      <c r="J257" s="263">
        <f>J258+J259</f>
        <v>960.1</v>
      </c>
      <c r="K257" s="263">
        <f t="shared" si="17"/>
        <v>43.78020975832194</v>
      </c>
    </row>
    <row r="258" spans="1:11" ht="74.25" customHeight="1">
      <c r="A258" s="121" t="s">
        <v>145</v>
      </c>
      <c r="B258" s="108" t="s">
        <v>77</v>
      </c>
      <c r="C258" s="12" t="s">
        <v>11</v>
      </c>
      <c r="D258" s="12" t="s">
        <v>10</v>
      </c>
      <c r="E258" s="12" t="s">
        <v>68</v>
      </c>
      <c r="F258" s="94" t="s">
        <v>141</v>
      </c>
      <c r="G258" s="78"/>
      <c r="H258" s="78"/>
      <c r="I258" s="264">
        <v>2175.8</v>
      </c>
      <c r="J258" s="314">
        <v>952.1</v>
      </c>
      <c r="K258" s="263">
        <f t="shared" si="17"/>
        <v>43.75861751999264</v>
      </c>
    </row>
    <row r="259" spans="1:11" ht="32.25" customHeight="1">
      <c r="A259" s="157" t="s">
        <v>289</v>
      </c>
      <c r="B259" s="177" t="s">
        <v>77</v>
      </c>
      <c r="C259" s="100" t="s">
        <v>11</v>
      </c>
      <c r="D259" s="100" t="s">
        <v>10</v>
      </c>
      <c r="E259" s="100" t="s">
        <v>313</v>
      </c>
      <c r="F259" s="94" t="s">
        <v>290</v>
      </c>
      <c r="G259" s="78"/>
      <c r="H259" s="78"/>
      <c r="I259" s="264">
        <v>17.2</v>
      </c>
      <c r="J259" s="314">
        <v>8</v>
      </c>
      <c r="K259" s="263">
        <f t="shared" si="17"/>
        <v>46.51162790697674</v>
      </c>
    </row>
    <row r="260" spans="1:11" ht="25.5" customHeight="1">
      <c r="A260" s="222" t="s">
        <v>298</v>
      </c>
      <c r="B260" s="177" t="s">
        <v>77</v>
      </c>
      <c r="C260" s="100" t="s">
        <v>11</v>
      </c>
      <c r="D260" s="100" t="s">
        <v>10</v>
      </c>
      <c r="E260" s="100" t="s">
        <v>297</v>
      </c>
      <c r="F260" s="94" t="s">
        <v>7</v>
      </c>
      <c r="G260" s="78"/>
      <c r="H260" s="78"/>
      <c r="I260" s="264">
        <f>I261</f>
        <v>5415.599999999999</v>
      </c>
      <c r="J260" s="264">
        <f>J261</f>
        <v>2191.8</v>
      </c>
      <c r="K260" s="263">
        <f t="shared" si="17"/>
        <v>40.471969864834925</v>
      </c>
    </row>
    <row r="261" spans="1:11" ht="36.75" customHeight="1">
      <c r="A261" s="157" t="s">
        <v>299</v>
      </c>
      <c r="B261" s="177" t="s">
        <v>77</v>
      </c>
      <c r="C261" s="100" t="s">
        <v>11</v>
      </c>
      <c r="D261" s="100" t="s">
        <v>10</v>
      </c>
      <c r="E261" s="100" t="s">
        <v>296</v>
      </c>
      <c r="F261" s="94" t="s">
        <v>7</v>
      </c>
      <c r="G261" s="78"/>
      <c r="H261" s="78"/>
      <c r="I261" s="264">
        <f>I262+I263</f>
        <v>5415.599999999999</v>
      </c>
      <c r="J261" s="264">
        <f>J262+J263</f>
        <v>2191.8</v>
      </c>
      <c r="K261" s="263">
        <f t="shared" si="17"/>
        <v>40.471969864834925</v>
      </c>
    </row>
    <row r="262" spans="1:11" ht="37.5" customHeight="1">
      <c r="A262" s="121" t="s">
        <v>142</v>
      </c>
      <c r="B262" s="177" t="s">
        <v>77</v>
      </c>
      <c r="C262" s="100" t="s">
        <v>11</v>
      </c>
      <c r="D262" s="100" t="s">
        <v>10</v>
      </c>
      <c r="E262" s="100" t="s">
        <v>296</v>
      </c>
      <c r="F262" s="94" t="s">
        <v>129</v>
      </c>
      <c r="G262" s="78"/>
      <c r="H262" s="78"/>
      <c r="I262" s="264">
        <v>4809.4</v>
      </c>
      <c r="J262" s="314">
        <v>1625.1</v>
      </c>
      <c r="K262" s="263">
        <f t="shared" si="17"/>
        <v>33.7900777643781</v>
      </c>
    </row>
    <row r="263" spans="1:11" ht="37.5" customHeight="1">
      <c r="A263" s="157" t="s">
        <v>289</v>
      </c>
      <c r="B263" s="177" t="s">
        <v>77</v>
      </c>
      <c r="C263" s="100" t="s">
        <v>11</v>
      </c>
      <c r="D263" s="100" t="s">
        <v>10</v>
      </c>
      <c r="E263" s="100" t="s">
        <v>296</v>
      </c>
      <c r="F263" s="94" t="s">
        <v>290</v>
      </c>
      <c r="G263" s="78"/>
      <c r="H263" s="78"/>
      <c r="I263" s="264">
        <v>606.2</v>
      </c>
      <c r="J263" s="314">
        <v>566.7</v>
      </c>
      <c r="K263" s="263">
        <f t="shared" si="17"/>
        <v>93.48399868030353</v>
      </c>
    </row>
    <row r="264" spans="1:11" ht="82.5" customHeight="1">
      <c r="A264" s="14" t="s">
        <v>263</v>
      </c>
      <c r="B264" s="185" t="s">
        <v>77</v>
      </c>
      <c r="C264" s="155" t="s">
        <v>11</v>
      </c>
      <c r="D264" s="155" t="s">
        <v>10</v>
      </c>
      <c r="E264" s="155" t="s">
        <v>264</v>
      </c>
      <c r="F264" s="155" t="s">
        <v>44</v>
      </c>
      <c r="G264" s="80"/>
      <c r="H264" s="80"/>
      <c r="I264" s="264">
        <f>I265</f>
        <v>7107.9</v>
      </c>
      <c r="J264" s="264">
        <f>J265</f>
        <v>5398.2</v>
      </c>
      <c r="K264" s="263">
        <f t="shared" si="17"/>
        <v>75.94648208331574</v>
      </c>
    </row>
    <row r="265" spans="1:11" ht="62.25" customHeight="1">
      <c r="A265" s="121" t="s">
        <v>150</v>
      </c>
      <c r="B265" s="185" t="s">
        <v>77</v>
      </c>
      <c r="C265" s="155" t="s">
        <v>11</v>
      </c>
      <c r="D265" s="155" t="s">
        <v>10</v>
      </c>
      <c r="E265" s="155" t="s">
        <v>1</v>
      </c>
      <c r="F265" s="155" t="s">
        <v>7</v>
      </c>
      <c r="G265" s="80"/>
      <c r="H265" s="80"/>
      <c r="I265" s="264">
        <f>I266+I267+I268</f>
        <v>7107.9</v>
      </c>
      <c r="J265" s="264">
        <f>J266+J267+J268</f>
        <v>5398.2</v>
      </c>
      <c r="K265" s="263">
        <f t="shared" si="17"/>
        <v>75.94648208331574</v>
      </c>
    </row>
    <row r="266" spans="1:11" ht="27" customHeight="1">
      <c r="A266" s="212" t="s">
        <v>133</v>
      </c>
      <c r="B266" s="185" t="s">
        <v>77</v>
      </c>
      <c r="C266" s="155" t="s">
        <v>11</v>
      </c>
      <c r="D266" s="155" t="s">
        <v>10</v>
      </c>
      <c r="E266" s="155" t="s">
        <v>1</v>
      </c>
      <c r="F266" s="155" t="s">
        <v>135</v>
      </c>
      <c r="G266" s="80"/>
      <c r="H266" s="80"/>
      <c r="I266" s="264">
        <v>1488.5</v>
      </c>
      <c r="J266" s="330">
        <v>965</v>
      </c>
      <c r="K266" s="263">
        <f t="shared" si="17"/>
        <v>64.83036614040981</v>
      </c>
    </row>
    <row r="267" spans="1:11" ht="33" customHeight="1">
      <c r="A267" s="121" t="s">
        <v>142</v>
      </c>
      <c r="B267" s="185" t="s">
        <v>77</v>
      </c>
      <c r="C267" s="155" t="s">
        <v>11</v>
      </c>
      <c r="D267" s="155" t="s">
        <v>10</v>
      </c>
      <c r="E267" s="155" t="s">
        <v>1</v>
      </c>
      <c r="F267" s="155" t="s">
        <v>129</v>
      </c>
      <c r="G267" s="80"/>
      <c r="H267" s="80"/>
      <c r="I267" s="264">
        <v>2409.9</v>
      </c>
      <c r="J267" s="330">
        <v>1644.7</v>
      </c>
      <c r="K267" s="263">
        <f t="shared" si="17"/>
        <v>68.24764513050334</v>
      </c>
    </row>
    <row r="268" spans="1:11" ht="61.5" customHeight="1">
      <c r="A268" s="121" t="s">
        <v>145</v>
      </c>
      <c r="B268" s="185" t="s">
        <v>77</v>
      </c>
      <c r="C268" s="155" t="s">
        <v>11</v>
      </c>
      <c r="D268" s="155" t="s">
        <v>10</v>
      </c>
      <c r="E268" s="155" t="s">
        <v>1</v>
      </c>
      <c r="F268" s="155" t="s">
        <v>141</v>
      </c>
      <c r="G268" s="80"/>
      <c r="H268" s="80"/>
      <c r="I268" s="264">
        <v>3209.5</v>
      </c>
      <c r="J268" s="330">
        <v>2788.5</v>
      </c>
      <c r="K268" s="263">
        <f t="shared" si="17"/>
        <v>86.88269200810095</v>
      </c>
    </row>
    <row r="269" spans="1:11" ht="32.25" customHeight="1">
      <c r="A269" s="6" t="s">
        <v>53</v>
      </c>
      <c r="B269" s="114" t="s">
        <v>77</v>
      </c>
      <c r="C269" s="95" t="s">
        <v>11</v>
      </c>
      <c r="D269" s="95" t="s">
        <v>10</v>
      </c>
      <c r="E269" s="95" t="s">
        <v>52</v>
      </c>
      <c r="F269" s="95" t="s">
        <v>7</v>
      </c>
      <c r="G269" s="72">
        <f>G270</f>
        <v>364.3</v>
      </c>
      <c r="H269" s="72"/>
      <c r="I269" s="263">
        <f>I270</f>
        <v>1055.7</v>
      </c>
      <c r="J269" s="263">
        <f>J270</f>
        <v>747.6</v>
      </c>
      <c r="K269" s="263">
        <f t="shared" si="17"/>
        <v>70.81557260585394</v>
      </c>
    </row>
    <row r="270" spans="1:11" ht="34.5" customHeight="1">
      <c r="A270" s="5" t="s">
        <v>213</v>
      </c>
      <c r="B270" s="174" t="s">
        <v>77</v>
      </c>
      <c r="C270" s="156" t="s">
        <v>11</v>
      </c>
      <c r="D270" s="156" t="s">
        <v>10</v>
      </c>
      <c r="E270" s="156" t="s">
        <v>81</v>
      </c>
      <c r="F270" s="156" t="s">
        <v>7</v>
      </c>
      <c r="G270" s="79">
        <f>G271</f>
        <v>364.3</v>
      </c>
      <c r="H270" s="79"/>
      <c r="I270" s="264">
        <f>I271</f>
        <v>1055.7</v>
      </c>
      <c r="J270" s="264">
        <f>J271</f>
        <v>747.6</v>
      </c>
      <c r="K270" s="263">
        <f t="shared" si="17"/>
        <v>70.81557260585394</v>
      </c>
    </row>
    <row r="271" spans="1:11" ht="30" customHeight="1">
      <c r="A271" s="212" t="s">
        <v>133</v>
      </c>
      <c r="B271" s="174" t="s">
        <v>77</v>
      </c>
      <c r="C271" s="156" t="s">
        <v>11</v>
      </c>
      <c r="D271" s="156" t="s">
        <v>10</v>
      </c>
      <c r="E271" s="156" t="s">
        <v>81</v>
      </c>
      <c r="F271" s="156" t="s">
        <v>135</v>
      </c>
      <c r="G271" s="79">
        <v>364.3</v>
      </c>
      <c r="H271" s="79"/>
      <c r="I271" s="264">
        <f>275.1+528+252.6</f>
        <v>1055.7</v>
      </c>
      <c r="J271" s="264">
        <v>747.6</v>
      </c>
      <c r="K271" s="263">
        <f t="shared" si="17"/>
        <v>70.81557260585394</v>
      </c>
    </row>
    <row r="272" spans="1:11" ht="118.5" customHeight="1">
      <c r="A272" s="212" t="s">
        <v>158</v>
      </c>
      <c r="B272" s="154" t="s">
        <v>77</v>
      </c>
      <c r="C272" s="155" t="s">
        <v>11</v>
      </c>
      <c r="D272" s="155" t="s">
        <v>10</v>
      </c>
      <c r="E272" s="155" t="s">
        <v>159</v>
      </c>
      <c r="F272" s="156" t="s">
        <v>7</v>
      </c>
      <c r="G272" s="80"/>
      <c r="H272" s="80"/>
      <c r="I272" s="264">
        <f>I273+I279+I282</f>
        <v>63298.99999999999</v>
      </c>
      <c r="J272" s="264">
        <f>J273+J279+J282</f>
        <v>42872.299999999996</v>
      </c>
      <c r="K272" s="263">
        <f aca="true" t="shared" si="19" ref="K272:K335">J272/I272*100</f>
        <v>67.72982195611306</v>
      </c>
    </row>
    <row r="273" spans="1:11" ht="42.75" customHeight="1">
      <c r="A273" s="6" t="s">
        <v>185</v>
      </c>
      <c r="B273" s="154" t="s">
        <v>77</v>
      </c>
      <c r="C273" s="155" t="s">
        <v>11</v>
      </c>
      <c r="D273" s="155" t="s">
        <v>10</v>
      </c>
      <c r="E273" s="155" t="s">
        <v>186</v>
      </c>
      <c r="F273" s="156" t="s">
        <v>7</v>
      </c>
      <c r="G273" s="80"/>
      <c r="H273" s="80"/>
      <c r="I273" s="264">
        <f>I274</f>
        <v>62693.7</v>
      </c>
      <c r="J273" s="264">
        <f>J274</f>
        <v>42506.9</v>
      </c>
      <c r="K273" s="263">
        <f t="shared" si="19"/>
        <v>67.80091141534157</v>
      </c>
    </row>
    <row r="274" spans="1:11" ht="58.5" customHeight="1">
      <c r="A274" s="157" t="s">
        <v>187</v>
      </c>
      <c r="B274" s="154" t="s">
        <v>77</v>
      </c>
      <c r="C274" s="155" t="s">
        <v>11</v>
      </c>
      <c r="D274" s="155" t="s">
        <v>10</v>
      </c>
      <c r="E274" s="155" t="s">
        <v>186</v>
      </c>
      <c r="F274" s="156" t="s">
        <v>7</v>
      </c>
      <c r="G274" s="80"/>
      <c r="H274" s="80"/>
      <c r="I274" s="264">
        <f>I275+I276+I277+I278</f>
        <v>62693.7</v>
      </c>
      <c r="J274" s="264">
        <f>J275+J276+J277+J278</f>
        <v>42506.9</v>
      </c>
      <c r="K274" s="263">
        <f t="shared" si="19"/>
        <v>67.80091141534157</v>
      </c>
    </row>
    <row r="275" spans="1:11" ht="27.75" customHeight="1">
      <c r="A275" s="212" t="s">
        <v>133</v>
      </c>
      <c r="B275" s="154" t="s">
        <v>77</v>
      </c>
      <c r="C275" s="155" t="s">
        <v>11</v>
      </c>
      <c r="D275" s="155" t="s">
        <v>10</v>
      </c>
      <c r="E275" s="155" t="s">
        <v>186</v>
      </c>
      <c r="F275" s="156" t="s">
        <v>135</v>
      </c>
      <c r="G275" s="80"/>
      <c r="H275" s="80"/>
      <c r="I275" s="338">
        <v>40605.2</v>
      </c>
      <c r="J275" s="339">
        <v>27746.6</v>
      </c>
      <c r="K275" s="263">
        <f t="shared" si="19"/>
        <v>68.33262734822141</v>
      </c>
    </row>
    <row r="276" spans="1:11" ht="33" customHeight="1">
      <c r="A276" s="121" t="s">
        <v>132</v>
      </c>
      <c r="B276" s="154" t="s">
        <v>77</v>
      </c>
      <c r="C276" s="155" t="s">
        <v>11</v>
      </c>
      <c r="D276" s="155" t="s">
        <v>10</v>
      </c>
      <c r="E276" s="155" t="s">
        <v>186</v>
      </c>
      <c r="F276" s="156" t="s">
        <v>136</v>
      </c>
      <c r="G276" s="80"/>
      <c r="H276" s="80"/>
      <c r="I276" s="340">
        <v>114</v>
      </c>
      <c r="J276" s="339">
        <v>107.4</v>
      </c>
      <c r="K276" s="263">
        <f t="shared" si="19"/>
        <v>94.21052631578948</v>
      </c>
    </row>
    <row r="277" spans="1:11" ht="33" customHeight="1">
      <c r="A277" s="121" t="s">
        <v>142</v>
      </c>
      <c r="B277" s="154" t="s">
        <v>77</v>
      </c>
      <c r="C277" s="155" t="s">
        <v>11</v>
      </c>
      <c r="D277" s="155" t="s">
        <v>10</v>
      </c>
      <c r="E277" s="155" t="s">
        <v>186</v>
      </c>
      <c r="F277" s="156" t="s">
        <v>129</v>
      </c>
      <c r="G277" s="80"/>
      <c r="H277" s="80"/>
      <c r="I277" s="340">
        <v>200.3</v>
      </c>
      <c r="J277" s="339">
        <v>109.8</v>
      </c>
      <c r="K277" s="263">
        <f t="shared" si="19"/>
        <v>54.817773339990005</v>
      </c>
    </row>
    <row r="278" spans="1:11" ht="63.75" customHeight="1">
      <c r="A278" s="121" t="s">
        <v>145</v>
      </c>
      <c r="B278" s="154" t="s">
        <v>77</v>
      </c>
      <c r="C278" s="155" t="s">
        <v>11</v>
      </c>
      <c r="D278" s="155" t="s">
        <v>10</v>
      </c>
      <c r="E278" s="155" t="s">
        <v>186</v>
      </c>
      <c r="F278" s="92" t="s">
        <v>141</v>
      </c>
      <c r="G278" s="80"/>
      <c r="H278" s="80"/>
      <c r="I278" s="338">
        <v>21774.2</v>
      </c>
      <c r="J278" s="339">
        <v>14543.1</v>
      </c>
      <c r="K278" s="263">
        <f t="shared" si="19"/>
        <v>66.79051354355154</v>
      </c>
    </row>
    <row r="279" spans="1:11" ht="79.5" customHeight="1">
      <c r="A279" s="121" t="s">
        <v>188</v>
      </c>
      <c r="B279" s="50" t="s">
        <v>77</v>
      </c>
      <c r="C279" s="155" t="s">
        <v>11</v>
      </c>
      <c r="D279" s="155" t="s">
        <v>10</v>
      </c>
      <c r="E279" s="155" t="s">
        <v>189</v>
      </c>
      <c r="F279" s="155" t="s">
        <v>7</v>
      </c>
      <c r="G279" s="80"/>
      <c r="H279" s="80"/>
      <c r="I279" s="264">
        <f>I280+I281</f>
        <v>349.2</v>
      </c>
      <c r="J279" s="264">
        <f>J280+J281</f>
        <v>209.20000000000002</v>
      </c>
      <c r="K279" s="263">
        <f t="shared" si="19"/>
        <v>59.90836197021765</v>
      </c>
    </row>
    <row r="280" spans="1:11" ht="19.5" customHeight="1">
      <c r="A280" s="121" t="s">
        <v>190</v>
      </c>
      <c r="B280" s="50" t="s">
        <v>77</v>
      </c>
      <c r="C280" s="155" t="s">
        <v>11</v>
      </c>
      <c r="D280" s="155" t="s">
        <v>10</v>
      </c>
      <c r="E280" s="155" t="s">
        <v>189</v>
      </c>
      <c r="F280" s="155" t="s">
        <v>191</v>
      </c>
      <c r="G280" s="80"/>
      <c r="H280" s="80"/>
      <c r="I280" s="264">
        <v>107.8</v>
      </c>
      <c r="J280" s="330">
        <v>64.4</v>
      </c>
      <c r="K280" s="263">
        <f t="shared" si="19"/>
        <v>59.74025974025975</v>
      </c>
    </row>
    <row r="281" spans="1:11" ht="38.25" customHeight="1">
      <c r="A281" s="157" t="s">
        <v>289</v>
      </c>
      <c r="B281" s="50" t="s">
        <v>77</v>
      </c>
      <c r="C281" s="155" t="s">
        <v>11</v>
      </c>
      <c r="D281" s="155" t="s">
        <v>10</v>
      </c>
      <c r="E281" s="155" t="s">
        <v>189</v>
      </c>
      <c r="F281" s="155" t="s">
        <v>290</v>
      </c>
      <c r="G281" s="80"/>
      <c r="H281" s="80"/>
      <c r="I281" s="264">
        <f>241.2+0.2</f>
        <v>241.39999999999998</v>
      </c>
      <c r="J281" s="330">
        <v>144.8</v>
      </c>
      <c r="K281" s="263">
        <f t="shared" si="19"/>
        <v>59.983429991715006</v>
      </c>
    </row>
    <row r="282" spans="1:11" ht="76.5" customHeight="1">
      <c r="A282" s="121" t="s">
        <v>214</v>
      </c>
      <c r="B282" s="153" t="s">
        <v>77</v>
      </c>
      <c r="C282" s="98" t="s">
        <v>11</v>
      </c>
      <c r="D282" s="98" t="s">
        <v>10</v>
      </c>
      <c r="E282" s="98" t="s">
        <v>215</v>
      </c>
      <c r="F282" s="120" t="s">
        <v>7</v>
      </c>
      <c r="G282" s="175"/>
      <c r="H282" s="175"/>
      <c r="I282" s="264">
        <f>I283+I284</f>
        <v>256.09999999999997</v>
      </c>
      <c r="J282" s="264">
        <f>J283+J284</f>
        <v>156.2</v>
      </c>
      <c r="K282" s="263">
        <f t="shared" si="19"/>
        <v>60.99180007809449</v>
      </c>
    </row>
    <row r="283" spans="1:11" ht="27" customHeight="1">
      <c r="A283" s="121" t="s">
        <v>181</v>
      </c>
      <c r="B283" s="153" t="s">
        <v>77</v>
      </c>
      <c r="C283" s="98" t="s">
        <v>11</v>
      </c>
      <c r="D283" s="98" t="s">
        <v>10</v>
      </c>
      <c r="E283" s="98" t="s">
        <v>215</v>
      </c>
      <c r="F283" s="120" t="s">
        <v>182</v>
      </c>
      <c r="G283" s="175"/>
      <c r="H283" s="175"/>
      <c r="I283" s="264">
        <v>194.2</v>
      </c>
      <c r="J283" s="330">
        <v>119.6</v>
      </c>
      <c r="K283" s="263">
        <f t="shared" si="19"/>
        <v>61.585993820803296</v>
      </c>
    </row>
    <row r="284" spans="1:11" ht="36" customHeight="1">
      <c r="A284" s="157" t="s">
        <v>289</v>
      </c>
      <c r="B284" s="153" t="s">
        <v>77</v>
      </c>
      <c r="C284" s="98" t="s">
        <v>11</v>
      </c>
      <c r="D284" s="98" t="s">
        <v>10</v>
      </c>
      <c r="E284" s="98" t="s">
        <v>215</v>
      </c>
      <c r="F284" s="120" t="s">
        <v>290</v>
      </c>
      <c r="G284" s="175"/>
      <c r="H284" s="175"/>
      <c r="I284" s="264">
        <v>61.9</v>
      </c>
      <c r="J284" s="330">
        <v>36.6</v>
      </c>
      <c r="K284" s="263">
        <f t="shared" si="19"/>
        <v>59.12762520193861</v>
      </c>
    </row>
    <row r="285" spans="1:11" ht="35.25" customHeight="1">
      <c r="A285" s="121" t="s">
        <v>219</v>
      </c>
      <c r="B285" s="153" t="s">
        <v>77</v>
      </c>
      <c r="C285" s="98" t="s">
        <v>11</v>
      </c>
      <c r="D285" s="98" t="s">
        <v>10</v>
      </c>
      <c r="E285" s="98" t="s">
        <v>220</v>
      </c>
      <c r="F285" s="120" t="s">
        <v>7</v>
      </c>
      <c r="G285" s="175"/>
      <c r="H285" s="175"/>
      <c r="I285" s="270">
        <f>I286+I289+I291</f>
        <v>65</v>
      </c>
      <c r="J285" s="270">
        <f>J286+J289+J291</f>
        <v>9</v>
      </c>
      <c r="K285" s="263">
        <f t="shared" si="19"/>
        <v>13.846153846153847</v>
      </c>
    </row>
    <row r="286" spans="1:11" ht="80.25" customHeight="1">
      <c r="A286" s="204" t="s">
        <v>217</v>
      </c>
      <c r="B286" s="153" t="s">
        <v>77</v>
      </c>
      <c r="C286" s="98" t="s">
        <v>11</v>
      </c>
      <c r="D286" s="98" t="s">
        <v>10</v>
      </c>
      <c r="E286" s="98" t="s">
        <v>220</v>
      </c>
      <c r="F286" s="120" t="s">
        <v>7</v>
      </c>
      <c r="G286" s="175"/>
      <c r="H286" s="175"/>
      <c r="I286" s="270">
        <f>I287+I288</f>
        <v>15</v>
      </c>
      <c r="J286" s="270">
        <f>J287+J288</f>
        <v>9</v>
      </c>
      <c r="K286" s="263">
        <f t="shared" si="19"/>
        <v>60</v>
      </c>
    </row>
    <row r="287" spans="1:11" ht="39.75" customHeight="1">
      <c r="A287" s="121" t="s">
        <v>142</v>
      </c>
      <c r="B287" s="153" t="s">
        <v>77</v>
      </c>
      <c r="C287" s="98" t="s">
        <v>11</v>
      </c>
      <c r="D287" s="98" t="s">
        <v>10</v>
      </c>
      <c r="E287" s="98" t="s">
        <v>220</v>
      </c>
      <c r="F287" s="120" t="s">
        <v>129</v>
      </c>
      <c r="G287" s="175"/>
      <c r="H287" s="175"/>
      <c r="I287" s="270">
        <v>10</v>
      </c>
      <c r="J287" s="270">
        <v>9</v>
      </c>
      <c r="K287" s="263">
        <f t="shared" si="19"/>
        <v>90</v>
      </c>
    </row>
    <row r="288" spans="1:11" ht="36.75" customHeight="1">
      <c r="A288" s="157" t="s">
        <v>289</v>
      </c>
      <c r="B288" s="153" t="s">
        <v>77</v>
      </c>
      <c r="C288" s="98" t="s">
        <v>11</v>
      </c>
      <c r="D288" s="98" t="s">
        <v>10</v>
      </c>
      <c r="E288" s="98" t="s">
        <v>220</v>
      </c>
      <c r="F288" s="120" t="s">
        <v>290</v>
      </c>
      <c r="G288" s="175"/>
      <c r="H288" s="175"/>
      <c r="I288" s="270">
        <v>5</v>
      </c>
      <c r="J288" s="330">
        <v>0</v>
      </c>
      <c r="K288" s="263">
        <f t="shared" si="19"/>
        <v>0</v>
      </c>
    </row>
    <row r="289" spans="1:11" ht="88.5" customHeight="1">
      <c r="A289" s="204" t="s">
        <v>218</v>
      </c>
      <c r="B289" s="153" t="s">
        <v>77</v>
      </c>
      <c r="C289" s="98" t="s">
        <v>11</v>
      </c>
      <c r="D289" s="98" t="s">
        <v>10</v>
      </c>
      <c r="E289" s="98" t="s">
        <v>220</v>
      </c>
      <c r="F289" s="120" t="s">
        <v>7</v>
      </c>
      <c r="G289" s="175"/>
      <c r="H289" s="175"/>
      <c r="I289" s="270">
        <f>I290</f>
        <v>30</v>
      </c>
      <c r="J289" s="270">
        <f>J290</f>
        <v>0</v>
      </c>
      <c r="K289" s="263">
        <f t="shared" si="19"/>
        <v>0</v>
      </c>
    </row>
    <row r="290" spans="1:11" ht="37.5" customHeight="1">
      <c r="A290" s="157" t="s">
        <v>289</v>
      </c>
      <c r="B290" s="153" t="s">
        <v>77</v>
      </c>
      <c r="C290" s="98" t="s">
        <v>11</v>
      </c>
      <c r="D290" s="98" t="s">
        <v>10</v>
      </c>
      <c r="E290" s="98" t="s">
        <v>220</v>
      </c>
      <c r="F290" s="120" t="s">
        <v>290</v>
      </c>
      <c r="G290" s="175"/>
      <c r="H290" s="175"/>
      <c r="I290" s="270">
        <v>30</v>
      </c>
      <c r="J290" s="175"/>
      <c r="K290" s="263">
        <f t="shared" si="19"/>
        <v>0</v>
      </c>
    </row>
    <row r="291" spans="1:11" ht="48.75" customHeight="1">
      <c r="A291" s="121" t="s">
        <v>221</v>
      </c>
      <c r="B291" s="153" t="s">
        <v>77</v>
      </c>
      <c r="C291" s="98" t="s">
        <v>11</v>
      </c>
      <c r="D291" s="98" t="s">
        <v>10</v>
      </c>
      <c r="E291" s="98" t="s">
        <v>220</v>
      </c>
      <c r="F291" s="120" t="s">
        <v>7</v>
      </c>
      <c r="G291" s="175"/>
      <c r="H291" s="175"/>
      <c r="I291" s="270">
        <f>I292</f>
        <v>20</v>
      </c>
      <c r="J291" s="270">
        <f>J292</f>
        <v>0</v>
      </c>
      <c r="K291" s="263">
        <f t="shared" si="19"/>
        <v>0</v>
      </c>
    </row>
    <row r="292" spans="1:11" ht="36.75" customHeight="1">
      <c r="A292" s="157" t="s">
        <v>289</v>
      </c>
      <c r="B292" s="153" t="s">
        <v>77</v>
      </c>
      <c r="C292" s="98" t="s">
        <v>11</v>
      </c>
      <c r="D292" s="98" t="s">
        <v>10</v>
      </c>
      <c r="E292" s="98" t="s">
        <v>220</v>
      </c>
      <c r="F292" s="120" t="s">
        <v>290</v>
      </c>
      <c r="G292" s="175"/>
      <c r="H292" s="175"/>
      <c r="I292" s="270">
        <v>20</v>
      </c>
      <c r="J292" s="175"/>
      <c r="K292" s="263">
        <f t="shared" si="19"/>
        <v>0</v>
      </c>
    </row>
    <row r="293" spans="1:11" ht="37.5" customHeight="1">
      <c r="A293" s="222" t="s">
        <v>27</v>
      </c>
      <c r="B293" s="111" t="s">
        <v>77</v>
      </c>
      <c r="C293" s="95" t="s">
        <v>11</v>
      </c>
      <c r="D293" s="15" t="s">
        <v>11</v>
      </c>
      <c r="E293" s="15" t="s">
        <v>55</v>
      </c>
      <c r="F293" s="15" t="s">
        <v>7</v>
      </c>
      <c r="G293" s="73">
        <f>G294+G297+G300</f>
        <v>1181.8</v>
      </c>
      <c r="H293" s="73"/>
      <c r="I293" s="263">
        <f>I294</f>
        <v>1213.8</v>
      </c>
      <c r="J293" s="263">
        <f>J294</f>
        <v>1184.3</v>
      </c>
      <c r="K293" s="263">
        <f t="shared" si="19"/>
        <v>97.5696160817268</v>
      </c>
    </row>
    <row r="294" spans="1:11" ht="35.25" customHeight="1">
      <c r="A294" s="219" t="s">
        <v>210</v>
      </c>
      <c r="B294" s="113" t="s">
        <v>77</v>
      </c>
      <c r="C294" s="65" t="s">
        <v>11</v>
      </c>
      <c r="D294" s="65" t="s">
        <v>11</v>
      </c>
      <c r="E294" s="65" t="s">
        <v>234</v>
      </c>
      <c r="F294" s="65" t="s">
        <v>7</v>
      </c>
      <c r="G294" s="168">
        <f>G297+G299+G300</f>
        <v>1016.3</v>
      </c>
      <c r="H294" s="168"/>
      <c r="I294" s="263">
        <f>I299+I297+I295</f>
        <v>1213.8</v>
      </c>
      <c r="J294" s="263">
        <f>J299+J297+J295</f>
        <v>1184.3</v>
      </c>
      <c r="K294" s="263">
        <f t="shared" si="19"/>
        <v>97.5696160817268</v>
      </c>
    </row>
    <row r="295" spans="1:11" ht="35.25" customHeight="1">
      <c r="A295" s="308" t="s">
        <v>300</v>
      </c>
      <c r="B295" s="112" t="s">
        <v>77</v>
      </c>
      <c r="C295" s="63" t="s">
        <v>11</v>
      </c>
      <c r="D295" s="63" t="s">
        <v>11</v>
      </c>
      <c r="E295" s="63" t="s">
        <v>301</v>
      </c>
      <c r="F295" s="63" t="s">
        <v>7</v>
      </c>
      <c r="G295" s="168"/>
      <c r="H295" s="168"/>
      <c r="I295" s="270">
        <f>I296</f>
        <v>44.1</v>
      </c>
      <c r="J295" s="270">
        <f>J296</f>
        <v>29.5</v>
      </c>
      <c r="K295" s="263">
        <f t="shared" si="19"/>
        <v>66.89342403628117</v>
      </c>
    </row>
    <row r="296" spans="1:11" ht="35.25" customHeight="1">
      <c r="A296" s="307" t="s">
        <v>142</v>
      </c>
      <c r="B296" s="112" t="s">
        <v>77</v>
      </c>
      <c r="C296" s="63" t="s">
        <v>11</v>
      </c>
      <c r="D296" s="63" t="s">
        <v>11</v>
      </c>
      <c r="E296" s="63" t="s">
        <v>301</v>
      </c>
      <c r="F296" s="63" t="s">
        <v>129</v>
      </c>
      <c r="G296" s="168"/>
      <c r="H296" s="168"/>
      <c r="I296" s="270">
        <v>44.1</v>
      </c>
      <c r="J296" s="270">
        <v>29.5</v>
      </c>
      <c r="K296" s="263">
        <f t="shared" si="19"/>
        <v>66.89342403628117</v>
      </c>
    </row>
    <row r="297" spans="1:11" ht="156" customHeight="1">
      <c r="A297" s="202" t="s">
        <v>211</v>
      </c>
      <c r="B297" s="50" t="s">
        <v>77</v>
      </c>
      <c r="C297" s="49" t="s">
        <v>11</v>
      </c>
      <c r="D297" s="49" t="s">
        <v>11</v>
      </c>
      <c r="E297" s="169" t="s">
        <v>233</v>
      </c>
      <c r="F297" s="55" t="s">
        <v>7</v>
      </c>
      <c r="G297" s="170">
        <v>165.5</v>
      </c>
      <c r="H297" s="170"/>
      <c r="I297" s="264">
        <f>I298</f>
        <v>204</v>
      </c>
      <c r="J297" s="264">
        <f>J298</f>
        <v>204</v>
      </c>
      <c r="K297" s="263">
        <f t="shared" si="19"/>
        <v>100</v>
      </c>
    </row>
    <row r="298" spans="1:11" ht="60.75" customHeight="1">
      <c r="A298" s="121" t="s">
        <v>279</v>
      </c>
      <c r="B298" s="50" t="s">
        <v>77</v>
      </c>
      <c r="C298" s="49" t="s">
        <v>11</v>
      </c>
      <c r="D298" s="49" t="s">
        <v>11</v>
      </c>
      <c r="E298" s="169" t="s">
        <v>233</v>
      </c>
      <c r="F298" s="55" t="s">
        <v>225</v>
      </c>
      <c r="G298" s="170"/>
      <c r="H298" s="170"/>
      <c r="I298" s="264">
        <v>204</v>
      </c>
      <c r="J298" s="264">
        <v>204</v>
      </c>
      <c r="K298" s="263">
        <f t="shared" si="19"/>
        <v>100</v>
      </c>
    </row>
    <row r="299" spans="1:11" ht="105.75" customHeight="1">
      <c r="A299" s="202" t="s">
        <v>212</v>
      </c>
      <c r="B299" s="50" t="s">
        <v>77</v>
      </c>
      <c r="C299" s="49" t="s">
        <v>11</v>
      </c>
      <c r="D299" s="49" t="s">
        <v>11</v>
      </c>
      <c r="E299" s="55" t="s">
        <v>228</v>
      </c>
      <c r="F299" s="55" t="s">
        <v>7</v>
      </c>
      <c r="G299" s="171">
        <v>850.8</v>
      </c>
      <c r="H299" s="171"/>
      <c r="I299" s="264">
        <f>I300+I301</f>
        <v>965.7</v>
      </c>
      <c r="J299" s="264">
        <f>J300+J301</f>
        <v>950.8</v>
      </c>
      <c r="K299" s="263">
        <f t="shared" si="19"/>
        <v>98.45707776742259</v>
      </c>
    </row>
    <row r="300" spans="1:11" ht="33" customHeight="1">
      <c r="A300" s="121" t="s">
        <v>142</v>
      </c>
      <c r="B300" s="50" t="s">
        <v>77</v>
      </c>
      <c r="C300" s="49" t="s">
        <v>11</v>
      </c>
      <c r="D300" s="49" t="s">
        <v>11</v>
      </c>
      <c r="E300" s="55" t="s">
        <v>228</v>
      </c>
      <c r="F300" s="55" t="s">
        <v>129</v>
      </c>
      <c r="G300" s="171"/>
      <c r="H300" s="171"/>
      <c r="I300" s="264">
        <f>601.7+14.6</f>
        <v>616.3000000000001</v>
      </c>
      <c r="J300" s="330">
        <v>601.5</v>
      </c>
      <c r="K300" s="263">
        <f t="shared" si="19"/>
        <v>97.59857212396558</v>
      </c>
    </row>
    <row r="301" spans="1:11" ht="36.75" customHeight="1">
      <c r="A301" s="157" t="s">
        <v>289</v>
      </c>
      <c r="B301" s="50" t="s">
        <v>77</v>
      </c>
      <c r="C301" s="49" t="s">
        <v>11</v>
      </c>
      <c r="D301" s="49" t="s">
        <v>11</v>
      </c>
      <c r="E301" s="55" t="s">
        <v>228</v>
      </c>
      <c r="F301" s="55" t="s">
        <v>290</v>
      </c>
      <c r="G301" s="171"/>
      <c r="H301" s="171"/>
      <c r="I301" s="264">
        <f>364-14.6</f>
        <v>349.4</v>
      </c>
      <c r="J301" s="330">
        <v>349.3</v>
      </c>
      <c r="K301" s="263">
        <f t="shared" si="19"/>
        <v>99.97137950772755</v>
      </c>
    </row>
    <row r="302" spans="1:13" ht="33" customHeight="1">
      <c r="A302" s="3" t="s">
        <v>39</v>
      </c>
      <c r="B302" s="111" t="s">
        <v>77</v>
      </c>
      <c r="C302" s="64" t="s">
        <v>11</v>
      </c>
      <c r="D302" s="64" t="s">
        <v>22</v>
      </c>
      <c r="E302" s="64" t="s">
        <v>29</v>
      </c>
      <c r="F302" s="64" t="s">
        <v>7</v>
      </c>
      <c r="G302" s="81" t="e">
        <f>G303+G316+#REF!+#REF!+#REF!+#REF!+#REF!+#REF!+#REF!+#REF!+#REF!+#REF!+#REF!+#REF!</f>
        <v>#REF!</v>
      </c>
      <c r="H302" s="81" t="e">
        <f>H303+H317</f>
        <v>#REF!</v>
      </c>
      <c r="I302" s="263">
        <f>I303+I316+I309+I314+I326+I324+I329</f>
        <v>2008.9</v>
      </c>
      <c r="J302" s="263">
        <f>J303+J316+J309+J314+J326+J324+J329</f>
        <v>1394.1</v>
      </c>
      <c r="K302" s="263">
        <f t="shared" si="19"/>
        <v>69.39618696799242</v>
      </c>
      <c r="L302" s="10"/>
      <c r="M302" s="10"/>
    </row>
    <row r="303" spans="1:13" ht="81" customHeight="1">
      <c r="A303" s="220" t="s">
        <v>59</v>
      </c>
      <c r="B303" s="108" t="s">
        <v>77</v>
      </c>
      <c r="C303" s="12" t="s">
        <v>11</v>
      </c>
      <c r="D303" s="12" t="s">
        <v>22</v>
      </c>
      <c r="E303" s="12" t="s">
        <v>65</v>
      </c>
      <c r="F303" s="12" t="s">
        <v>7</v>
      </c>
      <c r="G303" s="78" t="e">
        <f>G304</f>
        <v>#REF!</v>
      </c>
      <c r="H303" s="78" t="e">
        <f>H304</f>
        <v>#REF!</v>
      </c>
      <c r="I303" s="263">
        <f>I304</f>
        <v>725.7</v>
      </c>
      <c r="J303" s="263">
        <f>J304</f>
        <v>530.8</v>
      </c>
      <c r="K303" s="263">
        <f t="shared" si="19"/>
        <v>73.14317210968719</v>
      </c>
      <c r="L303" s="9"/>
      <c r="M303" s="9"/>
    </row>
    <row r="304" spans="1:13" ht="22.5" customHeight="1">
      <c r="A304" s="233" t="s">
        <v>18</v>
      </c>
      <c r="B304" s="108" t="s">
        <v>77</v>
      </c>
      <c r="C304" s="12" t="s">
        <v>11</v>
      </c>
      <c r="D304" s="12" t="s">
        <v>22</v>
      </c>
      <c r="E304" s="12" t="s">
        <v>66</v>
      </c>
      <c r="F304" s="12" t="s">
        <v>7</v>
      </c>
      <c r="G304" s="78" t="e">
        <f>#REF!</f>
        <v>#REF!</v>
      </c>
      <c r="H304" s="78" t="e">
        <f>#REF!</f>
        <v>#REF!</v>
      </c>
      <c r="I304" s="264">
        <f>I305+I306+I307+I308</f>
        <v>725.7</v>
      </c>
      <c r="J304" s="264">
        <f>J305+J306+J307+J308</f>
        <v>530.8</v>
      </c>
      <c r="K304" s="263">
        <f t="shared" si="19"/>
        <v>73.14317210968719</v>
      </c>
      <c r="L304" s="9"/>
      <c r="M304" s="9"/>
    </row>
    <row r="305" spans="1:13" ht="21.75" customHeight="1">
      <c r="A305" s="212" t="s">
        <v>133</v>
      </c>
      <c r="B305" s="108" t="s">
        <v>77</v>
      </c>
      <c r="C305" s="12" t="s">
        <v>11</v>
      </c>
      <c r="D305" s="12" t="s">
        <v>22</v>
      </c>
      <c r="E305" s="12" t="s">
        <v>66</v>
      </c>
      <c r="F305" s="120" t="s">
        <v>127</v>
      </c>
      <c r="G305" s="78"/>
      <c r="H305" s="78"/>
      <c r="I305" s="264">
        <v>540</v>
      </c>
      <c r="J305" s="314">
        <v>404.4</v>
      </c>
      <c r="K305" s="263">
        <f t="shared" si="19"/>
        <v>74.88888888888889</v>
      </c>
      <c r="L305" s="9"/>
      <c r="M305" s="9"/>
    </row>
    <row r="306" spans="1:13" ht="27.75" customHeight="1">
      <c r="A306" s="121" t="s">
        <v>142</v>
      </c>
      <c r="B306" s="108" t="s">
        <v>77</v>
      </c>
      <c r="C306" s="12" t="s">
        <v>11</v>
      </c>
      <c r="D306" s="12" t="s">
        <v>22</v>
      </c>
      <c r="E306" s="12" t="s">
        <v>66</v>
      </c>
      <c r="F306" s="120" t="s">
        <v>129</v>
      </c>
      <c r="G306" s="78"/>
      <c r="H306" s="78"/>
      <c r="I306" s="264">
        <v>175.7</v>
      </c>
      <c r="J306" s="314">
        <v>122.4</v>
      </c>
      <c r="K306" s="263">
        <f t="shared" si="19"/>
        <v>69.6642003414912</v>
      </c>
      <c r="L306" s="9"/>
      <c r="M306" s="9"/>
    </row>
    <row r="307" spans="1:13" ht="27.75" customHeight="1">
      <c r="A307" s="212" t="s">
        <v>131</v>
      </c>
      <c r="B307" s="177" t="s">
        <v>77</v>
      </c>
      <c r="C307" s="100" t="s">
        <v>11</v>
      </c>
      <c r="D307" s="100" t="s">
        <v>22</v>
      </c>
      <c r="E307" s="100" t="s">
        <v>66</v>
      </c>
      <c r="F307" s="120" t="s">
        <v>130</v>
      </c>
      <c r="G307" s="78"/>
      <c r="H307" s="78"/>
      <c r="I307" s="264">
        <f>10-0.3</f>
        <v>9.7</v>
      </c>
      <c r="J307" s="314">
        <v>4</v>
      </c>
      <c r="K307" s="263">
        <f t="shared" si="19"/>
        <v>41.23711340206186</v>
      </c>
      <c r="L307" s="9"/>
      <c r="M307" s="9"/>
    </row>
    <row r="308" spans="1:13" ht="35.25" customHeight="1">
      <c r="A308" s="212" t="s">
        <v>138</v>
      </c>
      <c r="B308" s="177" t="s">
        <v>77</v>
      </c>
      <c r="C308" s="100" t="s">
        <v>11</v>
      </c>
      <c r="D308" s="100" t="s">
        <v>22</v>
      </c>
      <c r="E308" s="100" t="s">
        <v>66</v>
      </c>
      <c r="F308" s="120" t="s">
        <v>137</v>
      </c>
      <c r="G308" s="78"/>
      <c r="H308" s="78"/>
      <c r="I308" s="264">
        <v>0.3</v>
      </c>
      <c r="J308" s="314">
        <v>0</v>
      </c>
      <c r="K308" s="263">
        <f t="shared" si="19"/>
        <v>0</v>
      </c>
      <c r="L308" s="9"/>
      <c r="M308" s="9"/>
    </row>
    <row r="309" spans="1:13" ht="39" customHeight="1">
      <c r="A309" s="215" t="s">
        <v>232</v>
      </c>
      <c r="B309" s="133" t="s">
        <v>77</v>
      </c>
      <c r="C309" s="134" t="s">
        <v>11</v>
      </c>
      <c r="D309" s="134" t="s">
        <v>22</v>
      </c>
      <c r="E309" s="134" t="s">
        <v>234</v>
      </c>
      <c r="F309" s="134" t="s">
        <v>7</v>
      </c>
      <c r="G309" s="286"/>
      <c r="H309" s="286"/>
      <c r="I309" s="263">
        <f>I311+I313</f>
        <v>11.7</v>
      </c>
      <c r="J309" s="263">
        <f>J311+J313</f>
        <v>0</v>
      </c>
      <c r="K309" s="263">
        <f t="shared" si="19"/>
        <v>0</v>
      </c>
      <c r="L309" s="9"/>
      <c r="M309" s="9"/>
    </row>
    <row r="310" spans="1:13" ht="39" customHeight="1">
      <c r="A310" s="227" t="s">
        <v>235</v>
      </c>
      <c r="B310" s="198" t="s">
        <v>77</v>
      </c>
      <c r="C310" s="137" t="s">
        <v>11</v>
      </c>
      <c r="D310" s="137" t="s">
        <v>22</v>
      </c>
      <c r="E310" s="137" t="s">
        <v>233</v>
      </c>
      <c r="F310" s="201" t="s">
        <v>7</v>
      </c>
      <c r="G310" s="286"/>
      <c r="H310" s="286"/>
      <c r="I310" s="270">
        <f>I311</f>
        <v>2</v>
      </c>
      <c r="J310" s="270">
        <f>J311</f>
        <v>0</v>
      </c>
      <c r="K310" s="263">
        <f t="shared" si="19"/>
        <v>0</v>
      </c>
      <c r="L310" s="9"/>
      <c r="M310" s="9"/>
    </row>
    <row r="311" spans="1:13" ht="39.75" customHeight="1">
      <c r="A311" s="121" t="s">
        <v>142</v>
      </c>
      <c r="B311" s="198" t="s">
        <v>77</v>
      </c>
      <c r="C311" s="137" t="s">
        <v>11</v>
      </c>
      <c r="D311" s="137" t="s">
        <v>22</v>
      </c>
      <c r="E311" s="137" t="s">
        <v>233</v>
      </c>
      <c r="F311" s="137" t="s">
        <v>129</v>
      </c>
      <c r="G311" s="199"/>
      <c r="H311" s="199"/>
      <c r="I311" s="270">
        <v>2</v>
      </c>
      <c r="J311" s="199"/>
      <c r="K311" s="263">
        <f t="shared" si="19"/>
        <v>0</v>
      </c>
      <c r="L311" s="9"/>
      <c r="M311" s="9"/>
    </row>
    <row r="312" spans="1:13" ht="39.75" customHeight="1">
      <c r="A312" s="227" t="s">
        <v>236</v>
      </c>
      <c r="B312" s="198" t="s">
        <v>77</v>
      </c>
      <c r="C312" s="137" t="s">
        <v>11</v>
      </c>
      <c r="D312" s="137" t="s">
        <v>22</v>
      </c>
      <c r="E312" s="137" t="s">
        <v>228</v>
      </c>
      <c r="F312" s="137" t="s">
        <v>7</v>
      </c>
      <c r="G312" s="199"/>
      <c r="H312" s="199"/>
      <c r="I312" s="270">
        <f>I313</f>
        <v>9.7</v>
      </c>
      <c r="J312" s="270">
        <f>J313</f>
        <v>0</v>
      </c>
      <c r="K312" s="263">
        <f t="shared" si="19"/>
        <v>0</v>
      </c>
      <c r="L312" s="9"/>
      <c r="M312" s="9"/>
    </row>
    <row r="313" spans="1:13" ht="45" customHeight="1">
      <c r="A313" s="121" t="s">
        <v>142</v>
      </c>
      <c r="B313" s="198" t="s">
        <v>77</v>
      </c>
      <c r="C313" s="137" t="s">
        <v>11</v>
      </c>
      <c r="D313" s="137" t="s">
        <v>22</v>
      </c>
      <c r="E313" s="137" t="s">
        <v>228</v>
      </c>
      <c r="F313" s="137" t="s">
        <v>129</v>
      </c>
      <c r="G313" s="199"/>
      <c r="H313" s="199"/>
      <c r="I313" s="270">
        <v>9.7</v>
      </c>
      <c r="J313" s="199"/>
      <c r="K313" s="263">
        <f t="shared" si="19"/>
        <v>0</v>
      </c>
      <c r="L313" s="9"/>
      <c r="M313" s="9"/>
    </row>
    <row r="314" spans="1:13" ht="45" customHeight="1">
      <c r="A314" s="157" t="s">
        <v>299</v>
      </c>
      <c r="B314" s="198" t="s">
        <v>77</v>
      </c>
      <c r="C314" s="137" t="s">
        <v>11</v>
      </c>
      <c r="D314" s="137" t="s">
        <v>22</v>
      </c>
      <c r="E314" s="137" t="s">
        <v>296</v>
      </c>
      <c r="F314" s="137" t="s">
        <v>7</v>
      </c>
      <c r="G314" s="199"/>
      <c r="H314" s="199"/>
      <c r="I314" s="270">
        <f>I315</f>
        <v>5.4</v>
      </c>
      <c r="J314" s="270">
        <f>J315</f>
        <v>0</v>
      </c>
      <c r="K314" s="263">
        <f t="shared" si="19"/>
        <v>0</v>
      </c>
      <c r="L314" s="9"/>
      <c r="M314" s="9"/>
    </row>
    <row r="315" spans="1:13" ht="45" customHeight="1">
      <c r="A315" s="121" t="s">
        <v>142</v>
      </c>
      <c r="B315" s="198" t="s">
        <v>77</v>
      </c>
      <c r="C315" s="137" t="s">
        <v>11</v>
      </c>
      <c r="D315" s="137" t="s">
        <v>22</v>
      </c>
      <c r="E315" s="137" t="s">
        <v>296</v>
      </c>
      <c r="F315" s="137" t="s">
        <v>129</v>
      </c>
      <c r="G315" s="199"/>
      <c r="H315" s="199"/>
      <c r="I315" s="270">
        <v>5.4</v>
      </c>
      <c r="J315" s="199"/>
      <c r="K315" s="263">
        <f t="shared" si="19"/>
        <v>0</v>
      </c>
      <c r="L315" s="9"/>
      <c r="M315" s="9"/>
    </row>
    <row r="316" spans="1:11" ht="107.25" customHeight="1">
      <c r="A316" s="222" t="s">
        <v>21</v>
      </c>
      <c r="B316" s="111" t="s">
        <v>77</v>
      </c>
      <c r="C316" s="64" t="s">
        <v>11</v>
      </c>
      <c r="D316" s="64" t="s">
        <v>22</v>
      </c>
      <c r="E316" s="64" t="s">
        <v>30</v>
      </c>
      <c r="F316" s="64" t="s">
        <v>7</v>
      </c>
      <c r="G316" s="78" t="e">
        <f>G317</f>
        <v>#REF!</v>
      </c>
      <c r="H316" s="78"/>
      <c r="I316" s="263">
        <f>I317</f>
        <v>1022</v>
      </c>
      <c r="J316" s="263">
        <f>J317</f>
        <v>667.9</v>
      </c>
      <c r="K316" s="263">
        <f t="shared" si="19"/>
        <v>65.35225048923678</v>
      </c>
    </row>
    <row r="317" spans="1:11" ht="36" customHeight="1">
      <c r="A317" s="157" t="s">
        <v>20</v>
      </c>
      <c r="B317" s="108" t="s">
        <v>77</v>
      </c>
      <c r="C317" s="12" t="s">
        <v>11</v>
      </c>
      <c r="D317" s="12" t="s">
        <v>22</v>
      </c>
      <c r="E317" s="12" t="s">
        <v>82</v>
      </c>
      <c r="F317" s="12" t="s">
        <v>7</v>
      </c>
      <c r="G317" s="78" t="e">
        <f>#REF!</f>
        <v>#REF!</v>
      </c>
      <c r="H317" s="78">
        <v>860</v>
      </c>
      <c r="I317" s="264">
        <f>I318+I319+I320+I321+I322</f>
        <v>1022</v>
      </c>
      <c r="J317" s="264">
        <f>J318+J319+J320+J321+J322</f>
        <v>667.9</v>
      </c>
      <c r="K317" s="263">
        <f t="shared" si="19"/>
        <v>65.35225048923678</v>
      </c>
    </row>
    <row r="318" spans="1:11" ht="26.25" customHeight="1">
      <c r="A318" s="212" t="s">
        <v>133</v>
      </c>
      <c r="B318" s="108" t="s">
        <v>77</v>
      </c>
      <c r="C318" s="12" t="s">
        <v>11</v>
      </c>
      <c r="D318" s="12" t="s">
        <v>22</v>
      </c>
      <c r="E318" s="12" t="s">
        <v>82</v>
      </c>
      <c r="F318" s="94" t="s">
        <v>135</v>
      </c>
      <c r="G318" s="78"/>
      <c r="H318" s="78"/>
      <c r="I318" s="264">
        <v>720</v>
      </c>
      <c r="J318" s="331">
        <v>507.6</v>
      </c>
      <c r="K318" s="263">
        <f t="shared" si="19"/>
        <v>70.5</v>
      </c>
    </row>
    <row r="319" spans="1:11" ht="31.5" customHeight="1">
      <c r="A319" s="121" t="s">
        <v>142</v>
      </c>
      <c r="B319" s="108" t="s">
        <v>77</v>
      </c>
      <c r="C319" s="12" t="s">
        <v>11</v>
      </c>
      <c r="D319" s="12" t="s">
        <v>22</v>
      </c>
      <c r="E319" s="12" t="s">
        <v>82</v>
      </c>
      <c r="F319" s="94" t="s">
        <v>129</v>
      </c>
      <c r="G319" s="78"/>
      <c r="H319" s="78"/>
      <c r="I319" s="264">
        <v>270</v>
      </c>
      <c r="J319" s="314">
        <v>159.7</v>
      </c>
      <c r="K319" s="263">
        <f t="shared" si="19"/>
        <v>59.14814814814814</v>
      </c>
    </row>
    <row r="320" spans="1:11" ht="60" customHeight="1">
      <c r="A320" s="253" t="s">
        <v>226</v>
      </c>
      <c r="B320" s="198" t="s">
        <v>77</v>
      </c>
      <c r="C320" s="137" t="s">
        <v>11</v>
      </c>
      <c r="D320" s="137" t="s">
        <v>22</v>
      </c>
      <c r="E320" s="137" t="s">
        <v>82</v>
      </c>
      <c r="F320" s="254" t="s">
        <v>225</v>
      </c>
      <c r="G320" s="199"/>
      <c r="H320" s="199"/>
      <c r="I320" s="270">
        <v>26</v>
      </c>
      <c r="J320" s="322"/>
      <c r="K320" s="263">
        <f t="shared" si="19"/>
        <v>0</v>
      </c>
    </row>
    <row r="321" spans="1:11" ht="31.5" customHeight="1">
      <c r="A321" s="212" t="s">
        <v>131</v>
      </c>
      <c r="B321" s="108" t="s">
        <v>77</v>
      </c>
      <c r="C321" s="12" t="s">
        <v>11</v>
      </c>
      <c r="D321" s="12" t="s">
        <v>22</v>
      </c>
      <c r="E321" s="12" t="s">
        <v>82</v>
      </c>
      <c r="F321" s="120" t="s">
        <v>130</v>
      </c>
      <c r="G321" s="78"/>
      <c r="H321" s="78"/>
      <c r="I321" s="264">
        <f>20-15</f>
        <v>5</v>
      </c>
      <c r="J321" s="314">
        <v>0.2</v>
      </c>
      <c r="K321" s="263">
        <f t="shared" si="19"/>
        <v>4</v>
      </c>
    </row>
    <row r="322" spans="1:11" ht="37.5" customHeight="1">
      <c r="A322" s="212" t="s">
        <v>138</v>
      </c>
      <c r="B322" s="108" t="s">
        <v>77</v>
      </c>
      <c r="C322" s="12" t="s">
        <v>11</v>
      </c>
      <c r="D322" s="12" t="s">
        <v>22</v>
      </c>
      <c r="E322" s="12" t="s">
        <v>82</v>
      </c>
      <c r="F322" s="120" t="s">
        <v>137</v>
      </c>
      <c r="G322" s="78"/>
      <c r="H322" s="78"/>
      <c r="I322" s="264">
        <v>1</v>
      </c>
      <c r="J322" s="314">
        <v>0.4</v>
      </c>
      <c r="K322" s="263">
        <f t="shared" si="19"/>
        <v>40</v>
      </c>
    </row>
    <row r="323" spans="1:11" ht="25.5" customHeight="1">
      <c r="A323" s="212" t="s">
        <v>83</v>
      </c>
      <c r="B323" s="182" t="s">
        <v>77</v>
      </c>
      <c r="C323" s="183" t="s">
        <v>11</v>
      </c>
      <c r="D323" s="183" t="s">
        <v>22</v>
      </c>
      <c r="E323" s="186" t="s">
        <v>198</v>
      </c>
      <c r="F323" s="183" t="s">
        <v>7</v>
      </c>
      <c r="G323" s="78"/>
      <c r="H323" s="78"/>
      <c r="I323" s="264">
        <f>I324</f>
        <v>0.8</v>
      </c>
      <c r="J323" s="264">
        <f>J324</f>
        <v>0</v>
      </c>
      <c r="K323" s="263">
        <f t="shared" si="19"/>
        <v>0</v>
      </c>
    </row>
    <row r="324" spans="1:11" ht="63.75" customHeight="1">
      <c r="A324" s="220" t="s">
        <v>229</v>
      </c>
      <c r="B324" s="182" t="s">
        <v>77</v>
      </c>
      <c r="C324" s="183" t="s">
        <v>11</v>
      </c>
      <c r="D324" s="183" t="s">
        <v>22</v>
      </c>
      <c r="E324" s="186" t="s">
        <v>199</v>
      </c>
      <c r="F324" s="183" t="s">
        <v>7</v>
      </c>
      <c r="G324" s="43"/>
      <c r="H324" s="43"/>
      <c r="I324" s="264">
        <f>I325</f>
        <v>0.8</v>
      </c>
      <c r="J324" s="264">
        <f>J325</f>
        <v>0</v>
      </c>
      <c r="K324" s="263">
        <f t="shared" si="19"/>
        <v>0</v>
      </c>
    </row>
    <row r="325" spans="1:11" ht="32.25" customHeight="1">
      <c r="A325" s="121" t="s">
        <v>142</v>
      </c>
      <c r="B325" s="182" t="s">
        <v>77</v>
      </c>
      <c r="C325" s="183" t="s">
        <v>11</v>
      </c>
      <c r="D325" s="183" t="s">
        <v>22</v>
      </c>
      <c r="E325" s="186" t="s">
        <v>199</v>
      </c>
      <c r="F325" s="183" t="s">
        <v>129</v>
      </c>
      <c r="G325" s="43"/>
      <c r="H325" s="43"/>
      <c r="I325" s="264">
        <v>0.8</v>
      </c>
      <c r="J325" s="43"/>
      <c r="K325" s="263">
        <f t="shared" si="19"/>
        <v>0</v>
      </c>
    </row>
    <row r="326" spans="1:11" ht="25.5" customHeight="1">
      <c r="A326" s="305" t="s">
        <v>109</v>
      </c>
      <c r="B326" s="182" t="s">
        <v>77</v>
      </c>
      <c r="C326" s="183" t="s">
        <v>11</v>
      </c>
      <c r="D326" s="183" t="s">
        <v>22</v>
      </c>
      <c r="E326" s="186" t="s">
        <v>52</v>
      </c>
      <c r="F326" s="183" t="s">
        <v>7</v>
      </c>
      <c r="G326" s="43"/>
      <c r="H326" s="43"/>
      <c r="I326" s="270">
        <f>I327</f>
        <v>5.699999999999999</v>
      </c>
      <c r="J326" s="270">
        <f>J327</f>
        <v>0</v>
      </c>
      <c r="K326" s="263">
        <f t="shared" si="19"/>
        <v>0</v>
      </c>
    </row>
    <row r="327" spans="1:11" ht="32.25" customHeight="1">
      <c r="A327" s="220" t="s">
        <v>80</v>
      </c>
      <c r="B327" s="182" t="s">
        <v>77</v>
      </c>
      <c r="C327" s="183" t="s">
        <v>11</v>
      </c>
      <c r="D327" s="183" t="s">
        <v>22</v>
      </c>
      <c r="E327" s="186" t="s">
        <v>81</v>
      </c>
      <c r="F327" s="183" t="s">
        <v>7</v>
      </c>
      <c r="G327" s="43"/>
      <c r="H327" s="43"/>
      <c r="I327" s="264">
        <f>I328</f>
        <v>5.699999999999999</v>
      </c>
      <c r="J327" s="264">
        <f>J328</f>
        <v>0</v>
      </c>
      <c r="K327" s="263">
        <f t="shared" si="19"/>
        <v>0</v>
      </c>
    </row>
    <row r="328" spans="1:11" ht="29.25" customHeight="1">
      <c r="A328" s="121" t="s">
        <v>142</v>
      </c>
      <c r="B328" s="182" t="s">
        <v>77</v>
      </c>
      <c r="C328" s="183" t="s">
        <v>11</v>
      </c>
      <c r="D328" s="183" t="s">
        <v>22</v>
      </c>
      <c r="E328" s="186" t="s">
        <v>81</v>
      </c>
      <c r="F328" s="183" t="s">
        <v>129</v>
      </c>
      <c r="G328" s="43"/>
      <c r="H328" s="43"/>
      <c r="I328" s="264">
        <f>5.6+0.1</f>
        <v>5.699999999999999</v>
      </c>
      <c r="J328" s="43"/>
      <c r="K328" s="263">
        <f t="shared" si="19"/>
        <v>0</v>
      </c>
    </row>
    <row r="329" spans="1:11" ht="134.25" customHeight="1">
      <c r="A329" s="121" t="s">
        <v>158</v>
      </c>
      <c r="B329" s="182" t="s">
        <v>77</v>
      </c>
      <c r="C329" s="183" t="s">
        <v>11</v>
      </c>
      <c r="D329" s="183" t="s">
        <v>22</v>
      </c>
      <c r="E329" s="186" t="s">
        <v>159</v>
      </c>
      <c r="F329" s="183" t="s">
        <v>7</v>
      </c>
      <c r="G329" s="43"/>
      <c r="H329" s="43"/>
      <c r="I329" s="270">
        <f>I331+I333+I334+I338+I341+I343+I345</f>
        <v>237.6</v>
      </c>
      <c r="J329" s="270">
        <f>J331+J333+J334+J338+J341+J343+J345</f>
        <v>195.4</v>
      </c>
      <c r="K329" s="263">
        <f t="shared" si="19"/>
        <v>82.23905723905725</v>
      </c>
    </row>
    <row r="330" spans="1:11" ht="78" customHeight="1">
      <c r="A330" s="228" t="s">
        <v>237</v>
      </c>
      <c r="B330" s="182" t="s">
        <v>77</v>
      </c>
      <c r="C330" s="183" t="s">
        <v>11</v>
      </c>
      <c r="D330" s="183" t="s">
        <v>22</v>
      </c>
      <c r="E330" s="186" t="s">
        <v>184</v>
      </c>
      <c r="F330" s="183" t="s">
        <v>7</v>
      </c>
      <c r="G330" s="43"/>
      <c r="H330" s="43"/>
      <c r="I330" s="264">
        <v>0.3</v>
      </c>
      <c r="J330" s="264">
        <v>0.3</v>
      </c>
      <c r="K330" s="263">
        <f t="shared" si="19"/>
        <v>100</v>
      </c>
    </row>
    <row r="331" spans="1:11" ht="29.25" customHeight="1">
      <c r="A331" s="228" t="s">
        <v>142</v>
      </c>
      <c r="B331" s="182" t="s">
        <v>77</v>
      </c>
      <c r="C331" s="183" t="s">
        <v>11</v>
      </c>
      <c r="D331" s="183" t="s">
        <v>22</v>
      </c>
      <c r="E331" s="186" t="s">
        <v>184</v>
      </c>
      <c r="F331" s="183" t="s">
        <v>129</v>
      </c>
      <c r="G331" s="43"/>
      <c r="H331" s="43"/>
      <c r="I331" s="264">
        <v>0.3</v>
      </c>
      <c r="J331" s="264">
        <v>0.3</v>
      </c>
      <c r="K331" s="263">
        <f t="shared" si="19"/>
        <v>100</v>
      </c>
    </row>
    <row r="332" spans="1:11" ht="29.25" customHeight="1">
      <c r="A332" s="298" t="s">
        <v>238</v>
      </c>
      <c r="B332" s="182" t="s">
        <v>77</v>
      </c>
      <c r="C332" s="183" t="s">
        <v>11</v>
      </c>
      <c r="D332" s="183" t="s">
        <v>22</v>
      </c>
      <c r="E332" s="186" t="s">
        <v>84</v>
      </c>
      <c r="F332" s="183" t="s">
        <v>7</v>
      </c>
      <c r="G332" s="43"/>
      <c r="H332" s="43"/>
      <c r="I332" s="264">
        <f>I333</f>
        <v>1.7</v>
      </c>
      <c r="J332" s="264">
        <f>J333</f>
        <v>0.9</v>
      </c>
      <c r="K332" s="263">
        <f t="shared" si="19"/>
        <v>52.94117647058824</v>
      </c>
    </row>
    <row r="333" spans="1:11" ht="29.25" customHeight="1">
      <c r="A333" s="228" t="s">
        <v>142</v>
      </c>
      <c r="B333" s="182" t="s">
        <v>77</v>
      </c>
      <c r="C333" s="183" t="s">
        <v>11</v>
      </c>
      <c r="D333" s="183" t="s">
        <v>22</v>
      </c>
      <c r="E333" s="186" t="s">
        <v>84</v>
      </c>
      <c r="F333" s="183" t="s">
        <v>129</v>
      </c>
      <c r="G333" s="43"/>
      <c r="H333" s="43"/>
      <c r="I333" s="264">
        <v>1.7</v>
      </c>
      <c r="J333" s="315">
        <v>0.9</v>
      </c>
      <c r="K333" s="263">
        <f t="shared" si="19"/>
        <v>52.94117647058824</v>
      </c>
    </row>
    <row r="334" spans="1:11" ht="59.25" customHeight="1">
      <c r="A334" s="157" t="s">
        <v>187</v>
      </c>
      <c r="B334" s="306" t="s">
        <v>77</v>
      </c>
      <c r="C334" s="155" t="s">
        <v>11</v>
      </c>
      <c r="D334" s="155" t="s">
        <v>22</v>
      </c>
      <c r="E334" s="155" t="s">
        <v>186</v>
      </c>
      <c r="F334" s="156" t="s">
        <v>7</v>
      </c>
      <c r="G334" s="43"/>
      <c r="H334" s="43"/>
      <c r="I334" s="264">
        <f>I335+I336+I337</f>
        <v>167.4</v>
      </c>
      <c r="J334" s="264">
        <f>J335+J336+J337</f>
        <v>154.3</v>
      </c>
      <c r="K334" s="263">
        <f t="shared" si="19"/>
        <v>92.17443249701314</v>
      </c>
    </row>
    <row r="335" spans="1:11" ht="28.5" customHeight="1">
      <c r="A335" s="212" t="s">
        <v>133</v>
      </c>
      <c r="B335" s="306" t="s">
        <v>77</v>
      </c>
      <c r="C335" s="155" t="s">
        <v>11</v>
      </c>
      <c r="D335" s="155" t="s">
        <v>22</v>
      </c>
      <c r="E335" s="155" t="s">
        <v>186</v>
      </c>
      <c r="F335" s="156" t="s">
        <v>135</v>
      </c>
      <c r="G335" s="43"/>
      <c r="H335" s="43"/>
      <c r="I335" s="264">
        <v>124.2</v>
      </c>
      <c r="J335" s="264">
        <v>111.1</v>
      </c>
      <c r="K335" s="263">
        <f t="shared" si="19"/>
        <v>89.4524959742351</v>
      </c>
    </row>
    <row r="336" spans="1:11" ht="29.25" customHeight="1">
      <c r="A336" s="121" t="s">
        <v>132</v>
      </c>
      <c r="B336" s="306" t="s">
        <v>77</v>
      </c>
      <c r="C336" s="155" t="s">
        <v>11</v>
      </c>
      <c r="D336" s="155" t="s">
        <v>22</v>
      </c>
      <c r="E336" s="155" t="s">
        <v>186</v>
      </c>
      <c r="F336" s="156" t="s">
        <v>136</v>
      </c>
      <c r="G336" s="43"/>
      <c r="H336" s="43"/>
      <c r="I336" s="264">
        <v>1</v>
      </c>
      <c r="J336" s="315">
        <v>1</v>
      </c>
      <c r="K336" s="263">
        <f aca="true" t="shared" si="20" ref="K336:K365">J336/I336*100</f>
        <v>100</v>
      </c>
    </row>
    <row r="337" spans="1:11" ht="29.25" customHeight="1">
      <c r="A337" s="121" t="s">
        <v>142</v>
      </c>
      <c r="B337" s="306" t="s">
        <v>77</v>
      </c>
      <c r="C337" s="155" t="s">
        <v>11</v>
      </c>
      <c r="D337" s="155" t="s">
        <v>22</v>
      </c>
      <c r="E337" s="155" t="s">
        <v>186</v>
      </c>
      <c r="F337" s="156" t="s">
        <v>129</v>
      </c>
      <c r="G337" s="43"/>
      <c r="H337" s="43"/>
      <c r="I337" s="264">
        <v>42.2</v>
      </c>
      <c r="J337" s="315">
        <v>42.2</v>
      </c>
      <c r="K337" s="263">
        <f t="shared" si="20"/>
        <v>100</v>
      </c>
    </row>
    <row r="338" spans="1:11" ht="27" customHeight="1">
      <c r="A338" s="297" t="s">
        <v>285</v>
      </c>
      <c r="B338" s="174" t="s">
        <v>77</v>
      </c>
      <c r="C338" s="156" t="s">
        <v>11</v>
      </c>
      <c r="D338" s="156" t="s">
        <v>22</v>
      </c>
      <c r="E338" s="155" t="s">
        <v>204</v>
      </c>
      <c r="F338" s="83" t="s">
        <v>7</v>
      </c>
      <c r="G338" s="43"/>
      <c r="H338" s="43"/>
      <c r="I338" s="264">
        <f>I339+I340</f>
        <v>62.4</v>
      </c>
      <c r="J338" s="264">
        <f>J339+J340</f>
        <v>38.4</v>
      </c>
      <c r="K338" s="263">
        <f t="shared" si="20"/>
        <v>61.53846153846154</v>
      </c>
    </row>
    <row r="339" spans="1:11" ht="29.25" customHeight="1">
      <c r="A339" s="121" t="s">
        <v>132</v>
      </c>
      <c r="B339" s="174" t="s">
        <v>77</v>
      </c>
      <c r="C339" s="156" t="s">
        <v>11</v>
      </c>
      <c r="D339" s="156" t="s">
        <v>22</v>
      </c>
      <c r="E339" s="155" t="s">
        <v>204</v>
      </c>
      <c r="F339" s="83" t="s">
        <v>136</v>
      </c>
      <c r="G339" s="43"/>
      <c r="H339" s="43"/>
      <c r="I339" s="264">
        <v>10</v>
      </c>
      <c r="J339" s="43"/>
      <c r="K339" s="263">
        <f t="shared" si="20"/>
        <v>0</v>
      </c>
    </row>
    <row r="340" spans="1:11" ht="29.25" customHeight="1">
      <c r="A340" s="121" t="s">
        <v>142</v>
      </c>
      <c r="B340" s="174" t="s">
        <v>77</v>
      </c>
      <c r="C340" s="156" t="s">
        <v>11</v>
      </c>
      <c r="D340" s="156" t="s">
        <v>22</v>
      </c>
      <c r="E340" s="155" t="s">
        <v>204</v>
      </c>
      <c r="F340" s="83" t="s">
        <v>129</v>
      </c>
      <c r="G340" s="43"/>
      <c r="H340" s="43"/>
      <c r="I340" s="264">
        <f>52.4</f>
        <v>52.4</v>
      </c>
      <c r="J340" s="332">
        <v>38.4</v>
      </c>
      <c r="K340" s="263">
        <f t="shared" si="20"/>
        <v>73.2824427480916</v>
      </c>
    </row>
    <row r="341" spans="1:11" ht="105.75" customHeight="1">
      <c r="A341" s="204" t="s">
        <v>208</v>
      </c>
      <c r="B341" s="165" t="s">
        <v>77</v>
      </c>
      <c r="C341" s="49" t="s">
        <v>11</v>
      </c>
      <c r="D341" s="49" t="s">
        <v>22</v>
      </c>
      <c r="E341" s="82" t="s">
        <v>209</v>
      </c>
      <c r="F341" s="49" t="s">
        <v>7</v>
      </c>
      <c r="G341" s="43"/>
      <c r="H341" s="43"/>
      <c r="I341" s="264">
        <f>I342</f>
        <v>2.7</v>
      </c>
      <c r="J341" s="264">
        <f>J342</f>
        <v>0</v>
      </c>
      <c r="K341" s="263">
        <f t="shared" si="20"/>
        <v>0</v>
      </c>
    </row>
    <row r="342" spans="1:11" ht="29.25" customHeight="1">
      <c r="A342" s="121" t="s">
        <v>142</v>
      </c>
      <c r="B342" s="108" t="s">
        <v>77</v>
      </c>
      <c r="C342" s="163" t="s">
        <v>11</v>
      </c>
      <c r="D342" s="163" t="s">
        <v>22</v>
      </c>
      <c r="E342" s="82" t="s">
        <v>209</v>
      </c>
      <c r="F342" s="49" t="s">
        <v>129</v>
      </c>
      <c r="G342" s="43"/>
      <c r="H342" s="43"/>
      <c r="I342" s="264">
        <v>2.7</v>
      </c>
      <c r="J342" s="43"/>
      <c r="K342" s="263">
        <f t="shared" si="20"/>
        <v>0</v>
      </c>
    </row>
    <row r="343" spans="1:11" ht="81.75" customHeight="1">
      <c r="A343" s="121" t="s">
        <v>188</v>
      </c>
      <c r="B343" s="50" t="s">
        <v>77</v>
      </c>
      <c r="C343" s="155" t="s">
        <v>11</v>
      </c>
      <c r="D343" s="155" t="s">
        <v>22</v>
      </c>
      <c r="E343" s="155" t="s">
        <v>189</v>
      </c>
      <c r="F343" s="155" t="s">
        <v>7</v>
      </c>
      <c r="G343" s="43"/>
      <c r="H343" s="43"/>
      <c r="I343" s="264">
        <f>I344</f>
        <v>1.7</v>
      </c>
      <c r="J343" s="264">
        <f>J344</f>
        <v>0.8</v>
      </c>
      <c r="K343" s="263">
        <f t="shared" si="20"/>
        <v>47.05882352941177</v>
      </c>
    </row>
    <row r="344" spans="1:11" ht="33" customHeight="1">
      <c r="A344" s="121" t="s">
        <v>142</v>
      </c>
      <c r="B344" s="50" t="s">
        <v>77</v>
      </c>
      <c r="C344" s="155" t="s">
        <v>11</v>
      </c>
      <c r="D344" s="155" t="s">
        <v>22</v>
      </c>
      <c r="E344" s="155" t="s">
        <v>189</v>
      </c>
      <c r="F344" s="155" t="s">
        <v>129</v>
      </c>
      <c r="G344" s="43"/>
      <c r="H344" s="43"/>
      <c r="I344" s="264">
        <v>1.7</v>
      </c>
      <c r="J344" s="264">
        <v>0.8</v>
      </c>
      <c r="K344" s="263">
        <f t="shared" si="20"/>
        <v>47.05882352941177</v>
      </c>
    </row>
    <row r="345" spans="1:11" ht="78.75" customHeight="1">
      <c r="A345" s="228" t="s">
        <v>214</v>
      </c>
      <c r="B345" s="108" t="s">
        <v>77</v>
      </c>
      <c r="C345" s="163" t="s">
        <v>11</v>
      </c>
      <c r="D345" s="163" t="s">
        <v>22</v>
      </c>
      <c r="E345" s="238" t="s">
        <v>215</v>
      </c>
      <c r="F345" s="49" t="s">
        <v>7</v>
      </c>
      <c r="G345" s="43"/>
      <c r="H345" s="43"/>
      <c r="I345" s="264">
        <f>I346</f>
        <v>1.4</v>
      </c>
      <c r="J345" s="264">
        <f>J346</f>
        <v>0.7</v>
      </c>
      <c r="K345" s="263">
        <f t="shared" si="20"/>
        <v>50</v>
      </c>
    </row>
    <row r="346" spans="1:11" ht="33" customHeight="1">
      <c r="A346" s="121" t="s">
        <v>142</v>
      </c>
      <c r="B346" s="108" t="s">
        <v>77</v>
      </c>
      <c r="C346" s="163" t="s">
        <v>11</v>
      </c>
      <c r="D346" s="163" t="s">
        <v>22</v>
      </c>
      <c r="E346" s="238" t="s">
        <v>215</v>
      </c>
      <c r="F346" s="49" t="s">
        <v>129</v>
      </c>
      <c r="G346" s="43"/>
      <c r="H346" s="43"/>
      <c r="I346" s="264">
        <v>1.4</v>
      </c>
      <c r="J346" s="264">
        <v>0.7</v>
      </c>
      <c r="K346" s="263">
        <f t="shared" si="20"/>
        <v>50</v>
      </c>
    </row>
    <row r="347" spans="1:11" ht="23.25" customHeight="1">
      <c r="A347" s="299" t="s">
        <v>40</v>
      </c>
      <c r="B347" s="290" t="s">
        <v>77</v>
      </c>
      <c r="C347" s="291" t="s">
        <v>23</v>
      </c>
      <c r="D347" s="291" t="s">
        <v>16</v>
      </c>
      <c r="E347" s="291" t="s">
        <v>29</v>
      </c>
      <c r="F347" s="291" t="s">
        <v>7</v>
      </c>
      <c r="G347" s="235" t="e">
        <f>G354+#REF!+#REF!</f>
        <v>#REF!</v>
      </c>
      <c r="H347" s="235"/>
      <c r="I347" s="263">
        <f>I354+I348</f>
        <v>14294.1</v>
      </c>
      <c r="J347" s="263">
        <f>J354+J348</f>
        <v>11228.5</v>
      </c>
      <c r="K347" s="263">
        <f t="shared" si="20"/>
        <v>78.55338916056274</v>
      </c>
    </row>
    <row r="348" spans="1:11" ht="23.25" customHeight="1">
      <c r="A348" s="215" t="s">
        <v>41</v>
      </c>
      <c r="B348" s="292" t="s">
        <v>77</v>
      </c>
      <c r="C348" s="293" t="s">
        <v>23</v>
      </c>
      <c r="D348" s="293" t="s">
        <v>24</v>
      </c>
      <c r="E348" s="293" t="s">
        <v>29</v>
      </c>
      <c r="F348" s="293" t="s">
        <v>7</v>
      </c>
      <c r="G348" s="236"/>
      <c r="H348" s="236"/>
      <c r="I348" s="263">
        <f>I349</f>
        <v>416.40000000000003</v>
      </c>
      <c r="J348" s="263">
        <f>J349</f>
        <v>97.6</v>
      </c>
      <c r="K348" s="263">
        <f t="shared" si="20"/>
        <v>23.439000960614788</v>
      </c>
    </row>
    <row r="349" spans="1:11" ht="21" customHeight="1">
      <c r="A349" s="213" t="s">
        <v>83</v>
      </c>
      <c r="B349" s="300" t="s">
        <v>77</v>
      </c>
      <c r="C349" s="301" t="s">
        <v>23</v>
      </c>
      <c r="D349" s="301" t="s">
        <v>24</v>
      </c>
      <c r="E349" s="301" t="s">
        <v>198</v>
      </c>
      <c r="F349" s="301" t="s">
        <v>7</v>
      </c>
      <c r="G349" s="302"/>
      <c r="H349" s="302"/>
      <c r="I349" s="270">
        <f>I350+I352</f>
        <v>416.40000000000003</v>
      </c>
      <c r="J349" s="270">
        <f>J350+J352</f>
        <v>97.6</v>
      </c>
      <c r="K349" s="263">
        <f t="shared" si="20"/>
        <v>23.439000960614788</v>
      </c>
    </row>
    <row r="350" spans="1:11" ht="78" customHeight="1">
      <c r="A350" s="157" t="s">
        <v>262</v>
      </c>
      <c r="B350" s="108" t="s">
        <v>77</v>
      </c>
      <c r="C350" s="12" t="s">
        <v>23</v>
      </c>
      <c r="D350" s="12" t="s">
        <v>24</v>
      </c>
      <c r="E350" s="239" t="s">
        <v>199</v>
      </c>
      <c r="F350" s="12" t="s">
        <v>7</v>
      </c>
      <c r="G350" s="161"/>
      <c r="H350" s="161"/>
      <c r="I350" s="264">
        <f>I351</f>
        <v>85.3</v>
      </c>
      <c r="J350" s="264">
        <f>J351</f>
        <v>97.6</v>
      </c>
      <c r="K350" s="263">
        <f t="shared" si="20"/>
        <v>114.41969519343493</v>
      </c>
    </row>
    <row r="351" spans="1:17" ht="50.25" customHeight="1">
      <c r="A351" s="121" t="s">
        <v>265</v>
      </c>
      <c r="B351" s="108" t="s">
        <v>77</v>
      </c>
      <c r="C351" s="12" t="s">
        <v>23</v>
      </c>
      <c r="D351" s="12" t="s">
        <v>24</v>
      </c>
      <c r="E351" s="239" t="s">
        <v>199</v>
      </c>
      <c r="F351" s="201" t="s">
        <v>225</v>
      </c>
      <c r="G351" s="161"/>
      <c r="H351" s="161"/>
      <c r="I351" s="264">
        <f>103.1-17.8</f>
        <v>85.3</v>
      </c>
      <c r="J351" s="264">
        <v>97.6</v>
      </c>
      <c r="K351" s="263">
        <f t="shared" si="20"/>
        <v>114.41969519343493</v>
      </c>
      <c r="N351" s="395"/>
      <c r="O351" s="395"/>
      <c r="P351" s="395"/>
      <c r="Q351" s="395"/>
    </row>
    <row r="352" spans="1:11" ht="86.25" customHeight="1">
      <c r="A352" s="159" t="s">
        <v>196</v>
      </c>
      <c r="B352" s="108" t="s">
        <v>77</v>
      </c>
      <c r="C352" s="12" t="s">
        <v>23</v>
      </c>
      <c r="D352" s="12" t="s">
        <v>24</v>
      </c>
      <c r="E352" s="239" t="s">
        <v>197</v>
      </c>
      <c r="F352" s="12" t="s">
        <v>7</v>
      </c>
      <c r="G352" s="161"/>
      <c r="H352" s="161"/>
      <c r="I352" s="264">
        <f>I353</f>
        <v>331.1</v>
      </c>
      <c r="J352" s="264">
        <f>J353</f>
        <v>0</v>
      </c>
      <c r="K352" s="263">
        <f t="shared" si="20"/>
        <v>0</v>
      </c>
    </row>
    <row r="353" spans="1:11" ht="23.25" customHeight="1">
      <c r="A353" s="158" t="s">
        <v>181</v>
      </c>
      <c r="B353" s="108" t="s">
        <v>77</v>
      </c>
      <c r="C353" s="12" t="s">
        <v>23</v>
      </c>
      <c r="D353" s="12" t="s">
        <v>24</v>
      </c>
      <c r="E353" s="239" t="s">
        <v>197</v>
      </c>
      <c r="F353" s="12" t="s">
        <v>182</v>
      </c>
      <c r="G353" s="161"/>
      <c r="H353" s="161"/>
      <c r="I353" s="270">
        <f>328.8+2.3</f>
        <v>331.1</v>
      </c>
      <c r="J353" s="161"/>
      <c r="K353" s="263">
        <f t="shared" si="20"/>
        <v>0</v>
      </c>
    </row>
    <row r="354" spans="1:11" ht="17.25" customHeight="1">
      <c r="A354" s="162" t="s">
        <v>200</v>
      </c>
      <c r="B354" s="111" t="s">
        <v>77</v>
      </c>
      <c r="C354" s="64" t="s">
        <v>23</v>
      </c>
      <c r="D354" s="64" t="s">
        <v>15</v>
      </c>
      <c r="E354" s="64" t="s">
        <v>29</v>
      </c>
      <c r="F354" s="64" t="s">
        <v>7</v>
      </c>
      <c r="G354" s="44" t="e">
        <f>#REF!</f>
        <v>#REF!</v>
      </c>
      <c r="H354" s="44"/>
      <c r="I354" s="263">
        <f>I355</f>
        <v>13877.7</v>
      </c>
      <c r="J354" s="263">
        <f>J355</f>
        <v>11130.9</v>
      </c>
      <c r="K354" s="263">
        <f t="shared" si="20"/>
        <v>80.20709483559956</v>
      </c>
    </row>
    <row r="355" spans="1:11" ht="126.75" customHeight="1">
      <c r="A355" s="203" t="s">
        <v>158</v>
      </c>
      <c r="B355" s="165" t="s">
        <v>77</v>
      </c>
      <c r="C355" s="163" t="s">
        <v>23</v>
      </c>
      <c r="D355" s="163" t="s">
        <v>15</v>
      </c>
      <c r="E355" s="303" t="s">
        <v>159</v>
      </c>
      <c r="F355" s="163" t="s">
        <v>7</v>
      </c>
      <c r="G355" s="69" t="e">
        <f>#REF!+#REF!</f>
        <v>#REF!</v>
      </c>
      <c r="H355" s="69"/>
      <c r="I355" s="264">
        <f>I356+I359+I361+I363</f>
        <v>13877.7</v>
      </c>
      <c r="J355" s="264">
        <f>J356+J359+J361+J363</f>
        <v>11130.9</v>
      </c>
      <c r="K355" s="263">
        <f t="shared" si="20"/>
        <v>80.20709483559956</v>
      </c>
    </row>
    <row r="356" spans="1:11" ht="128.25" customHeight="1">
      <c r="A356" s="14" t="s">
        <v>185</v>
      </c>
      <c r="B356" s="154" t="s">
        <v>77</v>
      </c>
      <c r="C356" s="155" t="s">
        <v>23</v>
      </c>
      <c r="D356" s="155" t="s">
        <v>15</v>
      </c>
      <c r="E356" s="155" t="s">
        <v>201</v>
      </c>
      <c r="F356" s="156" t="s">
        <v>7</v>
      </c>
      <c r="G356" s="164"/>
      <c r="H356" s="164"/>
      <c r="I356" s="266">
        <f>I357</f>
        <v>349.1</v>
      </c>
      <c r="J356" s="266">
        <f>J357</f>
        <v>226.3</v>
      </c>
      <c r="K356" s="263">
        <f t="shared" si="20"/>
        <v>64.82383271268978</v>
      </c>
    </row>
    <row r="357" spans="1:11" ht="152.25" customHeight="1">
      <c r="A357" s="16" t="s">
        <v>202</v>
      </c>
      <c r="B357" s="166" t="s">
        <v>77</v>
      </c>
      <c r="C357" s="155" t="s">
        <v>23</v>
      </c>
      <c r="D357" s="101" t="s">
        <v>15</v>
      </c>
      <c r="E357" s="101" t="s">
        <v>84</v>
      </c>
      <c r="F357" s="101" t="s">
        <v>7</v>
      </c>
      <c r="G357" s="164"/>
      <c r="H357" s="164"/>
      <c r="I357" s="266">
        <f>I358</f>
        <v>349.1</v>
      </c>
      <c r="J357" s="266">
        <f>J358</f>
        <v>226.3</v>
      </c>
      <c r="K357" s="263">
        <f t="shared" si="20"/>
        <v>64.82383271268978</v>
      </c>
    </row>
    <row r="358" spans="1:11" ht="47.25" customHeight="1">
      <c r="A358" s="121" t="s">
        <v>265</v>
      </c>
      <c r="B358" s="166" t="s">
        <v>77</v>
      </c>
      <c r="C358" s="155" t="s">
        <v>23</v>
      </c>
      <c r="D358" s="101" t="s">
        <v>15</v>
      </c>
      <c r="E358" s="101" t="s">
        <v>84</v>
      </c>
      <c r="F358" s="101" t="s">
        <v>225</v>
      </c>
      <c r="G358" s="164"/>
      <c r="H358" s="164"/>
      <c r="I358" s="266">
        <v>349.1</v>
      </c>
      <c r="J358" s="266">
        <v>226.3</v>
      </c>
      <c r="K358" s="263">
        <f t="shared" si="20"/>
        <v>64.82383271268978</v>
      </c>
    </row>
    <row r="359" spans="1:11" ht="51.75" customHeight="1">
      <c r="A359" s="208" t="s">
        <v>203</v>
      </c>
      <c r="B359" s="111" t="s">
        <v>77</v>
      </c>
      <c r="C359" s="21" t="s">
        <v>23</v>
      </c>
      <c r="D359" s="21" t="s">
        <v>15</v>
      </c>
      <c r="E359" s="289" t="s">
        <v>204</v>
      </c>
      <c r="F359" s="21" t="s">
        <v>7</v>
      </c>
      <c r="G359" s="69"/>
      <c r="H359" s="69"/>
      <c r="I359" s="263">
        <f>I360</f>
        <v>12484</v>
      </c>
      <c r="J359" s="263">
        <f>J360</f>
        <v>10043.5</v>
      </c>
      <c r="K359" s="263">
        <f t="shared" si="20"/>
        <v>80.45097725088112</v>
      </c>
    </row>
    <row r="360" spans="1:11" ht="53.25" customHeight="1">
      <c r="A360" s="228" t="s">
        <v>265</v>
      </c>
      <c r="B360" s="50" t="s">
        <v>77</v>
      </c>
      <c r="C360" s="49" t="s">
        <v>23</v>
      </c>
      <c r="D360" s="49" t="s">
        <v>15</v>
      </c>
      <c r="E360" s="82" t="s">
        <v>205</v>
      </c>
      <c r="F360" s="49" t="s">
        <v>225</v>
      </c>
      <c r="G360" s="164"/>
      <c r="H360" s="164"/>
      <c r="I360" s="264">
        <v>12484</v>
      </c>
      <c r="J360" s="314">
        <v>10043.5</v>
      </c>
      <c r="K360" s="263">
        <f t="shared" si="20"/>
        <v>80.45097725088112</v>
      </c>
    </row>
    <row r="361" spans="1:11" ht="33" customHeight="1">
      <c r="A361" s="5" t="s">
        <v>206</v>
      </c>
      <c r="B361" s="50" t="s">
        <v>77</v>
      </c>
      <c r="C361" s="96" t="s">
        <v>23</v>
      </c>
      <c r="D361" s="163" t="s">
        <v>15</v>
      </c>
      <c r="E361" s="155" t="s">
        <v>207</v>
      </c>
      <c r="F361" s="96" t="s">
        <v>7</v>
      </c>
      <c r="G361" s="79" t="e">
        <f>#REF!</f>
        <v>#REF!</v>
      </c>
      <c r="H361" s="79"/>
      <c r="I361" s="264">
        <f>I362</f>
        <v>499.6</v>
      </c>
      <c r="J361" s="264">
        <f>J362</f>
        <v>347.5</v>
      </c>
      <c r="K361" s="263">
        <f t="shared" si="20"/>
        <v>69.55564451561249</v>
      </c>
    </row>
    <row r="362" spans="1:11" ht="32.25" customHeight="1">
      <c r="A362" s="212" t="s">
        <v>133</v>
      </c>
      <c r="B362" s="119" t="s">
        <v>77</v>
      </c>
      <c r="C362" s="96" t="s">
        <v>23</v>
      </c>
      <c r="D362" s="163" t="s">
        <v>15</v>
      </c>
      <c r="E362" s="155" t="s">
        <v>207</v>
      </c>
      <c r="F362" s="83" t="s">
        <v>135</v>
      </c>
      <c r="G362" s="43"/>
      <c r="H362" s="43"/>
      <c r="I362" s="264">
        <v>499.6</v>
      </c>
      <c r="J362" s="264">
        <v>347.5</v>
      </c>
      <c r="K362" s="263">
        <f t="shared" si="20"/>
        <v>69.55564451561249</v>
      </c>
    </row>
    <row r="363" spans="1:11" ht="90" customHeight="1">
      <c r="A363" s="204" t="s">
        <v>208</v>
      </c>
      <c r="B363" s="165" t="s">
        <v>77</v>
      </c>
      <c r="C363" s="49" t="s">
        <v>23</v>
      </c>
      <c r="D363" s="49" t="s">
        <v>15</v>
      </c>
      <c r="E363" s="234" t="s">
        <v>209</v>
      </c>
      <c r="F363" s="49" t="s">
        <v>7</v>
      </c>
      <c r="G363" s="167" t="e">
        <f>#REF!</f>
        <v>#REF!</v>
      </c>
      <c r="H363" s="167"/>
      <c r="I363" s="264">
        <f>I364</f>
        <v>545</v>
      </c>
      <c r="J363" s="264">
        <f>J364</f>
        <v>513.6</v>
      </c>
      <c r="K363" s="263">
        <f t="shared" si="20"/>
        <v>94.23853211009174</v>
      </c>
    </row>
    <row r="364" spans="1:11" ht="45.75" customHeight="1">
      <c r="A364" s="121" t="s">
        <v>265</v>
      </c>
      <c r="B364" s="108" t="s">
        <v>77</v>
      </c>
      <c r="C364" s="163" t="s">
        <v>23</v>
      </c>
      <c r="D364" s="163" t="s">
        <v>15</v>
      </c>
      <c r="E364" s="234" t="s">
        <v>209</v>
      </c>
      <c r="F364" s="49" t="s">
        <v>225</v>
      </c>
      <c r="G364" s="164"/>
      <c r="H364" s="164"/>
      <c r="I364" s="264">
        <v>545</v>
      </c>
      <c r="J364" s="314">
        <v>513.6</v>
      </c>
      <c r="K364" s="263">
        <f t="shared" si="20"/>
        <v>94.23853211009174</v>
      </c>
    </row>
    <row r="365" spans="1:14" ht="21.75" customHeight="1">
      <c r="A365" s="259" t="s">
        <v>56</v>
      </c>
      <c r="B365" s="260"/>
      <c r="C365" s="261"/>
      <c r="D365" s="261"/>
      <c r="E365" s="261"/>
      <c r="F365" s="261"/>
      <c r="G365" s="262" t="e">
        <f>G15+G136+G172+G181+#REF!+G225</f>
        <v>#REF!</v>
      </c>
      <c r="H365" s="262" t="e">
        <f>H15+H136+H172+H181+#REF!+H225</f>
        <v>#REF!</v>
      </c>
      <c r="I365" s="274">
        <f>I15+I136+I172+I225+I181</f>
        <v>190616.767</v>
      </c>
      <c r="J365" s="274">
        <f>J15+J136+J172+J225+J181</f>
        <v>128793.50000000001</v>
      </c>
      <c r="K365" s="263">
        <f t="shared" si="20"/>
        <v>67.56672145215852</v>
      </c>
      <c r="N365" s="240"/>
    </row>
    <row r="366" spans="1:14" ht="21.75" customHeight="1">
      <c r="A366" s="309"/>
      <c r="B366" s="310"/>
      <c r="C366" s="311"/>
      <c r="D366" s="311"/>
      <c r="E366" s="311"/>
      <c r="F366" s="311"/>
      <c r="G366" s="312"/>
      <c r="H366" s="312"/>
      <c r="I366" s="312"/>
      <c r="J366" s="312"/>
      <c r="K366" s="313"/>
      <c r="N366" s="240"/>
    </row>
    <row r="367" spans="1:14" ht="21.75" customHeight="1">
      <c r="A367" s="309"/>
      <c r="B367" s="310"/>
      <c r="C367" s="311"/>
      <c r="D367" s="311"/>
      <c r="E367" s="311"/>
      <c r="F367" s="311"/>
      <c r="G367" s="312"/>
      <c r="H367" s="312"/>
      <c r="I367" s="312"/>
      <c r="J367" s="312"/>
      <c r="K367" s="313"/>
      <c r="N367" s="240"/>
    </row>
    <row r="368" spans="1:14" ht="21.75" customHeight="1">
      <c r="A368" s="309"/>
      <c r="B368" s="310"/>
      <c r="C368" s="311"/>
      <c r="D368" s="311"/>
      <c r="E368" s="311"/>
      <c r="F368" s="311"/>
      <c r="G368" s="312"/>
      <c r="H368" s="312"/>
      <c r="I368" s="312"/>
      <c r="J368" s="312"/>
      <c r="K368" s="313"/>
      <c r="N368" s="240"/>
    </row>
    <row r="369" spans="1:14" ht="21.75" customHeight="1">
      <c r="A369" s="309"/>
      <c r="B369" s="310"/>
      <c r="C369" s="311"/>
      <c r="D369" s="311"/>
      <c r="E369" s="311"/>
      <c r="F369" s="311"/>
      <c r="G369" s="312"/>
      <c r="H369" s="312"/>
      <c r="I369" s="312"/>
      <c r="J369" s="312"/>
      <c r="K369" s="313"/>
      <c r="N369" s="240"/>
    </row>
    <row r="370" spans="1:14" ht="21.75" customHeight="1">
      <c r="A370" s="309"/>
      <c r="B370" s="310"/>
      <c r="C370" s="311"/>
      <c r="D370" s="311"/>
      <c r="E370" s="311"/>
      <c r="F370" s="311"/>
      <c r="G370" s="312"/>
      <c r="H370" s="312"/>
      <c r="I370" s="312"/>
      <c r="J370" s="312"/>
      <c r="K370" s="313"/>
      <c r="N370" s="240"/>
    </row>
    <row r="372" ht="12.75">
      <c r="K372" s="2"/>
    </row>
  </sheetData>
  <sheetProtection/>
  <mergeCells count="20">
    <mergeCell ref="C1:K1"/>
    <mergeCell ref="B4:K7"/>
    <mergeCell ref="A9:K11"/>
    <mergeCell ref="A12:A14"/>
    <mergeCell ref="B12:B14"/>
    <mergeCell ref="C12:C14"/>
    <mergeCell ref="D12:D14"/>
    <mergeCell ref="E12:E14"/>
    <mergeCell ref="F12:F14"/>
    <mergeCell ref="G12:G13"/>
    <mergeCell ref="A2:K2"/>
    <mergeCell ref="A3:K3"/>
    <mergeCell ref="N351:Q351"/>
    <mergeCell ref="H12:H13"/>
    <mergeCell ref="L31:Q31"/>
    <mergeCell ref="N42:P42"/>
    <mergeCell ref="N145:P145"/>
    <mergeCell ref="K12:K13"/>
    <mergeCell ref="I12:I13"/>
    <mergeCell ref="J12:J1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0"/>
  <sheetViews>
    <sheetView tabSelected="1" view="pageBreakPreview" zoomScaleNormal="85" zoomScaleSheetLayoutView="100" zoomScalePageLayoutView="0" workbookViewId="0" topLeftCell="A1">
      <selection activeCell="A9" sqref="A9:K11"/>
    </sheetView>
  </sheetViews>
  <sheetFormatPr defaultColWidth="9.00390625" defaultRowHeight="12.75"/>
  <cols>
    <col min="1" max="1" width="40.75390625" style="0" customWidth="1"/>
    <col min="2" max="3" width="4.25390625" style="2" customWidth="1"/>
    <col min="4" max="4" width="4.875" style="2" customWidth="1"/>
    <col min="5" max="5" width="9.75390625" style="2" customWidth="1"/>
    <col min="6" max="6" width="4.375" style="2" customWidth="1"/>
    <col min="7" max="8" width="12.875" style="2" hidden="1" customWidth="1"/>
    <col min="9" max="9" width="13.00390625" style="2" customWidth="1"/>
    <col min="10" max="10" width="12.875" style="2" customWidth="1"/>
    <col min="11" max="11" width="7.00390625" style="2" customWidth="1"/>
    <col min="12" max="13" width="9.125" style="0" hidden="1" customWidth="1"/>
    <col min="14" max="14" width="10.125" style="0" hidden="1" customWidth="1"/>
    <col min="15" max="18" width="9.125" style="0" hidden="1" customWidth="1"/>
    <col min="20" max="20" width="8.25390625" style="0" customWidth="1"/>
    <col min="21" max="26" width="9.125" style="0" hidden="1" customWidth="1"/>
  </cols>
  <sheetData>
    <row r="1" spans="3:11" ht="21" customHeight="1">
      <c r="C1" s="381" t="s">
        <v>302</v>
      </c>
      <c r="D1" s="381"/>
      <c r="E1" s="381"/>
      <c r="F1" s="381"/>
      <c r="G1" s="381"/>
      <c r="H1" s="381"/>
      <c r="I1" s="381"/>
      <c r="J1" s="381"/>
      <c r="K1" s="381"/>
    </row>
    <row r="2" spans="1:11" ht="17.25" customHeight="1">
      <c r="A2" s="381" t="s">
        <v>319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ht="12.75" customHeight="1">
      <c r="A3" s="383" t="s">
        <v>292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2:11" ht="12.75" customHeight="1">
      <c r="B4" s="384" t="s">
        <v>331</v>
      </c>
      <c r="C4" s="384"/>
      <c r="D4" s="384"/>
      <c r="E4" s="384"/>
      <c r="F4" s="384"/>
      <c r="G4" s="384"/>
      <c r="H4" s="384"/>
      <c r="I4" s="384"/>
      <c r="J4" s="384"/>
      <c r="K4" s="384"/>
    </row>
    <row r="5" spans="2:11" ht="20.25" customHeight="1"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2:11" ht="12.75" customHeight="1" hidden="1">
      <c r="B6" s="384"/>
      <c r="C6" s="384"/>
      <c r="D6" s="384"/>
      <c r="E6" s="384"/>
      <c r="F6" s="384"/>
      <c r="G6" s="384"/>
      <c r="H6" s="384"/>
      <c r="I6" s="384"/>
      <c r="J6" s="384"/>
      <c r="K6" s="384"/>
    </row>
    <row r="7" spans="2:11" ht="14.25" customHeight="1" hidden="1">
      <c r="B7" s="384"/>
      <c r="C7" s="384"/>
      <c r="D7" s="384"/>
      <c r="E7" s="384"/>
      <c r="F7" s="384"/>
      <c r="G7" s="384"/>
      <c r="H7" s="384"/>
      <c r="I7" s="384"/>
      <c r="J7" s="384"/>
      <c r="K7" s="384"/>
    </row>
    <row r="8" ht="12.75" hidden="1"/>
    <row r="9" spans="1:11" ht="12.75" customHeight="1">
      <c r="A9" s="385" t="s">
        <v>330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</row>
    <row r="10" spans="1:11" ht="12.75" customHeight="1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</row>
    <row r="11" spans="1:11" ht="32.25" customHeight="1">
      <c r="A11" s="386"/>
      <c r="B11" s="386"/>
      <c r="C11" s="386"/>
      <c r="D11" s="386"/>
      <c r="E11" s="386"/>
      <c r="F11" s="386"/>
      <c r="G11" s="386"/>
      <c r="H11" s="386"/>
      <c r="I11" s="386"/>
      <c r="J11" s="386"/>
      <c r="K11" s="386"/>
    </row>
    <row r="12" spans="1:11" ht="37.5" customHeight="1">
      <c r="A12" s="387" t="s">
        <v>286</v>
      </c>
      <c r="B12" s="390" t="s">
        <v>2</v>
      </c>
      <c r="C12" s="390" t="s">
        <v>3</v>
      </c>
      <c r="D12" s="390" t="s">
        <v>4</v>
      </c>
      <c r="E12" s="390" t="s">
        <v>5</v>
      </c>
      <c r="F12" s="390" t="s">
        <v>6</v>
      </c>
      <c r="G12" s="396" t="s">
        <v>112</v>
      </c>
      <c r="H12" s="396" t="s">
        <v>113</v>
      </c>
      <c r="I12" s="399" t="s">
        <v>270</v>
      </c>
      <c r="J12" s="396" t="s">
        <v>325</v>
      </c>
      <c r="K12" s="399" t="s">
        <v>307</v>
      </c>
    </row>
    <row r="13" spans="1:11" ht="36" customHeight="1">
      <c r="A13" s="388"/>
      <c r="B13" s="391"/>
      <c r="C13" s="391"/>
      <c r="D13" s="391"/>
      <c r="E13" s="391"/>
      <c r="F13" s="391"/>
      <c r="G13" s="397"/>
      <c r="H13" s="398"/>
      <c r="I13" s="400"/>
      <c r="J13" s="398"/>
      <c r="K13" s="400"/>
    </row>
    <row r="14" spans="1:11" ht="4.5" customHeight="1" hidden="1">
      <c r="A14" s="389"/>
      <c r="B14" s="392"/>
      <c r="C14" s="392"/>
      <c r="D14" s="392"/>
      <c r="E14" s="392"/>
      <c r="F14" s="392"/>
      <c r="G14" s="19"/>
      <c r="H14" s="19"/>
      <c r="I14" s="19"/>
      <c r="J14" s="19"/>
      <c r="K14" s="19"/>
    </row>
    <row r="15" spans="1:11" ht="30.75" customHeight="1">
      <c r="A15" s="205" t="s">
        <v>105</v>
      </c>
      <c r="B15" s="129" t="s">
        <v>49</v>
      </c>
      <c r="C15" s="130" t="s">
        <v>16</v>
      </c>
      <c r="D15" s="130" t="s">
        <v>16</v>
      </c>
      <c r="E15" s="130" t="s">
        <v>29</v>
      </c>
      <c r="F15" s="130" t="s">
        <v>7</v>
      </c>
      <c r="G15" s="132" t="e">
        <f>G16+G66+#REF!+G99+G71+#REF!+#REF!+#REF!</f>
        <v>#REF!</v>
      </c>
      <c r="H15" s="132" t="e">
        <f>H16+H66+H71+#REF!+#REF!+#REF!+H99</f>
        <v>#REF!</v>
      </c>
      <c r="I15" s="263">
        <f>I16+I66+I71+I99+I95+I91+I124+I83</f>
        <v>31847.663000000004</v>
      </c>
      <c r="J15" s="263">
        <f>J16+J66+J71+J99+J95+J91+J124+J83</f>
        <v>31325.9</v>
      </c>
      <c r="K15" s="263">
        <f>J15/I15*100</f>
        <v>98.36169140573988</v>
      </c>
    </row>
    <row r="16" spans="1:11" ht="17.25" customHeight="1">
      <c r="A16" s="17" t="s">
        <v>17</v>
      </c>
      <c r="B16" s="102" t="s">
        <v>49</v>
      </c>
      <c r="C16" s="21" t="s">
        <v>8</v>
      </c>
      <c r="D16" s="21" t="s">
        <v>16</v>
      </c>
      <c r="E16" s="21" t="s">
        <v>29</v>
      </c>
      <c r="F16" s="21" t="s">
        <v>7</v>
      </c>
      <c r="G16" s="20" t="e">
        <f>G17+G22+#REF!+G41</f>
        <v>#REF!</v>
      </c>
      <c r="H16" s="20" t="e">
        <f>H17+H22+#REF!+H41</f>
        <v>#REF!</v>
      </c>
      <c r="I16" s="263">
        <f>I17+I22+I41+I37</f>
        <v>17121.7</v>
      </c>
      <c r="J16" s="263">
        <f>J17+J22+J41+J37</f>
        <v>16956.8</v>
      </c>
      <c r="K16" s="263">
        <f aca="true" t="shared" si="0" ref="K16:K79">J16/I16*100</f>
        <v>99.03689470087666</v>
      </c>
    </row>
    <row r="17" spans="1:11" ht="75" customHeight="1">
      <c r="A17" s="294" t="s">
        <v>58</v>
      </c>
      <c r="B17" s="38">
        <v>503</v>
      </c>
      <c r="C17" s="29" t="s">
        <v>8</v>
      </c>
      <c r="D17" s="29" t="s">
        <v>24</v>
      </c>
      <c r="E17" s="29" t="s">
        <v>29</v>
      </c>
      <c r="F17" s="29" t="s">
        <v>7</v>
      </c>
      <c r="G17" s="22">
        <f>G18</f>
        <v>0</v>
      </c>
      <c r="H17" s="22">
        <f>H18</f>
        <v>607</v>
      </c>
      <c r="I17" s="263">
        <f>I18</f>
        <v>743</v>
      </c>
      <c r="J17" s="263">
        <f>J18</f>
        <v>732.9000000000001</v>
      </c>
      <c r="K17" s="263">
        <f t="shared" si="0"/>
        <v>98.6406460296097</v>
      </c>
    </row>
    <row r="18" spans="1:11" ht="73.5" customHeight="1">
      <c r="A18" s="295" t="s">
        <v>59</v>
      </c>
      <c r="B18" s="103">
        <v>503</v>
      </c>
      <c r="C18" s="49" t="s">
        <v>8</v>
      </c>
      <c r="D18" s="49" t="s">
        <v>24</v>
      </c>
      <c r="E18" s="49" t="s">
        <v>244</v>
      </c>
      <c r="F18" s="49" t="s">
        <v>7</v>
      </c>
      <c r="G18" s="23"/>
      <c r="H18" s="23">
        <f>H19</f>
        <v>607</v>
      </c>
      <c r="I18" s="264">
        <f>I19</f>
        <v>743</v>
      </c>
      <c r="J18" s="264">
        <f>J19</f>
        <v>732.9000000000001</v>
      </c>
      <c r="K18" s="263">
        <f t="shared" si="0"/>
        <v>98.6406460296097</v>
      </c>
    </row>
    <row r="19" spans="1:11" ht="18" customHeight="1">
      <c r="A19" s="204" t="s">
        <v>18</v>
      </c>
      <c r="B19" s="103">
        <v>503</v>
      </c>
      <c r="C19" s="49" t="s">
        <v>8</v>
      </c>
      <c r="D19" s="49" t="s">
        <v>24</v>
      </c>
      <c r="E19" s="49" t="s">
        <v>66</v>
      </c>
      <c r="F19" s="49" t="s">
        <v>7</v>
      </c>
      <c r="G19" s="23"/>
      <c r="H19" s="23">
        <f>H21</f>
        <v>607</v>
      </c>
      <c r="I19" s="264">
        <f>I20+I21</f>
        <v>743</v>
      </c>
      <c r="J19" s="264">
        <f>J20+J21</f>
        <v>732.9000000000001</v>
      </c>
      <c r="K19" s="263">
        <f t="shared" si="0"/>
        <v>98.6406460296097</v>
      </c>
    </row>
    <row r="20" spans="1:11" ht="18.75" customHeight="1">
      <c r="A20" s="212" t="s">
        <v>133</v>
      </c>
      <c r="B20" s="103">
        <v>503</v>
      </c>
      <c r="C20" s="49" t="s">
        <v>8</v>
      </c>
      <c r="D20" s="49" t="s">
        <v>24</v>
      </c>
      <c r="E20" s="49" t="s">
        <v>66</v>
      </c>
      <c r="F20" s="49" t="s">
        <v>127</v>
      </c>
      <c r="G20" s="23"/>
      <c r="H20" s="23"/>
      <c r="I20" s="264">
        <v>634</v>
      </c>
      <c r="J20" s="314">
        <v>633.2</v>
      </c>
      <c r="K20" s="263">
        <f t="shared" si="0"/>
        <v>99.87381703470032</v>
      </c>
    </row>
    <row r="21" spans="1:11" ht="28.5" customHeight="1">
      <c r="A21" s="121" t="s">
        <v>142</v>
      </c>
      <c r="B21" s="103">
        <v>503</v>
      </c>
      <c r="C21" s="49" t="s">
        <v>8</v>
      </c>
      <c r="D21" s="49" t="s">
        <v>24</v>
      </c>
      <c r="E21" s="49" t="s">
        <v>66</v>
      </c>
      <c r="F21" s="49" t="s">
        <v>129</v>
      </c>
      <c r="G21" s="24"/>
      <c r="H21" s="24">
        <v>607</v>
      </c>
      <c r="I21" s="264">
        <v>109</v>
      </c>
      <c r="J21" s="315">
        <v>99.7</v>
      </c>
      <c r="K21" s="263">
        <f t="shared" si="0"/>
        <v>91.46788990825688</v>
      </c>
    </row>
    <row r="22" spans="1:11" ht="83.25" customHeight="1">
      <c r="A22" s="208" t="s">
        <v>60</v>
      </c>
      <c r="B22" s="18">
        <v>503</v>
      </c>
      <c r="C22" s="21" t="s">
        <v>8</v>
      </c>
      <c r="D22" s="21" t="s">
        <v>15</v>
      </c>
      <c r="E22" s="21" t="s">
        <v>29</v>
      </c>
      <c r="F22" s="21" t="s">
        <v>7</v>
      </c>
      <c r="G22" s="25" t="e">
        <f>G23+G31+#REF!+#REF!+G35</f>
        <v>#REF!</v>
      </c>
      <c r="H22" s="25" t="e">
        <f>H23+H31+#REF!+#REF!+H35</f>
        <v>#REF!</v>
      </c>
      <c r="I22" s="263">
        <f>I23</f>
        <v>9735.800000000001</v>
      </c>
      <c r="J22" s="263">
        <f>J23</f>
        <v>9660.4</v>
      </c>
      <c r="K22" s="263">
        <f t="shared" si="0"/>
        <v>99.22553873333469</v>
      </c>
    </row>
    <row r="23" spans="1:11" ht="71.25" customHeight="1">
      <c r="A23" s="204" t="s">
        <v>59</v>
      </c>
      <c r="B23" s="103">
        <v>503</v>
      </c>
      <c r="C23" s="49" t="s">
        <v>8</v>
      </c>
      <c r="D23" s="49" t="s">
        <v>15</v>
      </c>
      <c r="E23" s="49" t="s">
        <v>65</v>
      </c>
      <c r="F23" s="49" t="s">
        <v>7</v>
      </c>
      <c r="G23" s="26"/>
      <c r="H23" s="26">
        <f>H24</f>
        <v>6485</v>
      </c>
      <c r="I23" s="270">
        <f>I24+I31</f>
        <v>9735.800000000001</v>
      </c>
      <c r="J23" s="270">
        <f>J24+J31</f>
        <v>9660.4</v>
      </c>
      <c r="K23" s="263">
        <f t="shared" si="0"/>
        <v>99.22553873333469</v>
      </c>
    </row>
    <row r="24" spans="1:11" ht="18" customHeight="1">
      <c r="A24" s="204" t="s">
        <v>18</v>
      </c>
      <c r="B24" s="103">
        <v>503</v>
      </c>
      <c r="C24" s="49" t="s">
        <v>8</v>
      </c>
      <c r="D24" s="49" t="s">
        <v>15</v>
      </c>
      <c r="E24" s="49" t="s">
        <v>66</v>
      </c>
      <c r="F24" s="49" t="s">
        <v>7</v>
      </c>
      <c r="G24" s="26"/>
      <c r="H24" s="26">
        <f>H29</f>
        <v>6485</v>
      </c>
      <c r="I24" s="264">
        <f>I25+I26+I27+I28+I29+I30</f>
        <v>8798.6</v>
      </c>
      <c r="J24" s="264">
        <f>J25+J26+J27+J28+J29+J30</f>
        <v>8726.1</v>
      </c>
      <c r="K24" s="263">
        <f t="shared" si="0"/>
        <v>99.17600527356625</v>
      </c>
    </row>
    <row r="25" spans="1:11" ht="18" customHeight="1">
      <c r="A25" s="212" t="s">
        <v>133</v>
      </c>
      <c r="B25" s="103">
        <v>503</v>
      </c>
      <c r="C25" s="49" t="s">
        <v>8</v>
      </c>
      <c r="D25" s="49" t="s">
        <v>15</v>
      </c>
      <c r="E25" s="49" t="s">
        <v>66</v>
      </c>
      <c r="F25" s="49" t="s">
        <v>127</v>
      </c>
      <c r="G25" s="26"/>
      <c r="H25" s="26"/>
      <c r="I25" s="264">
        <v>6781.3</v>
      </c>
      <c r="J25" s="314">
        <v>6767.4</v>
      </c>
      <c r="K25" s="263">
        <f t="shared" si="0"/>
        <v>99.79502455281435</v>
      </c>
    </row>
    <row r="26" spans="1:11" ht="30.75" customHeight="1">
      <c r="A26" s="121" t="s">
        <v>132</v>
      </c>
      <c r="B26" s="103">
        <v>503</v>
      </c>
      <c r="C26" s="49" t="s">
        <v>8</v>
      </c>
      <c r="D26" s="49" t="s">
        <v>15</v>
      </c>
      <c r="E26" s="49" t="s">
        <v>66</v>
      </c>
      <c r="F26" s="49" t="s">
        <v>128</v>
      </c>
      <c r="G26" s="26"/>
      <c r="H26" s="26"/>
      <c r="I26" s="264">
        <v>2.5</v>
      </c>
      <c r="J26" s="314">
        <v>2.5</v>
      </c>
      <c r="K26" s="263">
        <f t="shared" si="0"/>
        <v>100</v>
      </c>
    </row>
    <row r="27" spans="1:11" ht="30" customHeight="1">
      <c r="A27" s="121" t="s">
        <v>142</v>
      </c>
      <c r="B27" s="103">
        <v>503</v>
      </c>
      <c r="C27" s="49" t="s">
        <v>8</v>
      </c>
      <c r="D27" s="49" t="s">
        <v>15</v>
      </c>
      <c r="E27" s="49" t="s">
        <v>66</v>
      </c>
      <c r="F27" s="49" t="s">
        <v>129</v>
      </c>
      <c r="G27" s="26"/>
      <c r="H27" s="26"/>
      <c r="I27" s="264">
        <v>1882.1</v>
      </c>
      <c r="J27" s="314">
        <v>1823.5</v>
      </c>
      <c r="K27" s="263">
        <f t="shared" si="0"/>
        <v>96.88645661760799</v>
      </c>
    </row>
    <row r="28" spans="1:11" ht="42.75" customHeight="1">
      <c r="A28" s="121" t="s">
        <v>279</v>
      </c>
      <c r="B28" s="99">
        <v>528</v>
      </c>
      <c r="C28" s="12" t="s">
        <v>8</v>
      </c>
      <c r="D28" s="100" t="s">
        <v>15</v>
      </c>
      <c r="E28" s="100" t="s">
        <v>66</v>
      </c>
      <c r="F28" s="100" t="s">
        <v>225</v>
      </c>
      <c r="G28" s="26"/>
      <c r="H28" s="26"/>
      <c r="I28" s="264">
        <v>68</v>
      </c>
      <c r="J28" s="314">
        <v>68</v>
      </c>
      <c r="K28" s="263">
        <f t="shared" si="0"/>
        <v>100</v>
      </c>
    </row>
    <row r="29" spans="1:17" ht="31.5" customHeight="1">
      <c r="A29" s="212" t="s">
        <v>131</v>
      </c>
      <c r="B29" s="103">
        <v>503</v>
      </c>
      <c r="C29" s="49" t="s">
        <v>8</v>
      </c>
      <c r="D29" s="49" t="s">
        <v>15</v>
      </c>
      <c r="E29" s="49" t="s">
        <v>66</v>
      </c>
      <c r="F29" s="49" t="s">
        <v>130</v>
      </c>
      <c r="G29" s="27"/>
      <c r="H29" s="27">
        <v>6485</v>
      </c>
      <c r="I29" s="264">
        <f>54.5-20.5</f>
        <v>34</v>
      </c>
      <c r="J29" s="318">
        <v>34</v>
      </c>
      <c r="K29" s="263">
        <f t="shared" si="0"/>
        <v>100</v>
      </c>
      <c r="L29" s="393"/>
      <c r="M29" s="394"/>
      <c r="N29" s="394"/>
      <c r="O29" s="394"/>
      <c r="P29" s="394"/>
      <c r="Q29" s="394"/>
    </row>
    <row r="30" spans="1:17" ht="27.75" customHeight="1">
      <c r="A30" s="212" t="s">
        <v>138</v>
      </c>
      <c r="B30" s="103">
        <v>503</v>
      </c>
      <c r="C30" s="49" t="s">
        <v>8</v>
      </c>
      <c r="D30" s="49" t="s">
        <v>15</v>
      </c>
      <c r="E30" s="49" t="s">
        <v>66</v>
      </c>
      <c r="F30" s="49" t="s">
        <v>137</v>
      </c>
      <c r="G30" s="27"/>
      <c r="H30" s="27"/>
      <c r="I30" s="264">
        <v>30.7</v>
      </c>
      <c r="J30" s="318">
        <v>30.7</v>
      </c>
      <c r="K30" s="263">
        <f t="shared" si="0"/>
        <v>100</v>
      </c>
      <c r="L30" s="138"/>
      <c r="M30" s="138"/>
      <c r="N30" s="138"/>
      <c r="O30" s="138"/>
      <c r="P30" s="138"/>
      <c r="Q30" s="138"/>
    </row>
    <row r="31" spans="1:11" ht="42.75" customHeight="1">
      <c r="A31" s="208" t="s">
        <v>61</v>
      </c>
      <c r="B31" s="103">
        <v>503</v>
      </c>
      <c r="C31" s="49" t="s">
        <v>8</v>
      </c>
      <c r="D31" s="49" t="s">
        <v>15</v>
      </c>
      <c r="E31" s="49" t="s">
        <v>245</v>
      </c>
      <c r="F31" s="49" t="s">
        <v>7</v>
      </c>
      <c r="G31" s="26"/>
      <c r="H31" s="26">
        <f>H34</f>
        <v>713</v>
      </c>
      <c r="I31" s="263">
        <f>I32+I33+I34</f>
        <v>937.1999999999999</v>
      </c>
      <c r="J31" s="263">
        <f>J32+J33+J34</f>
        <v>934.3</v>
      </c>
      <c r="K31" s="263">
        <f t="shared" si="0"/>
        <v>99.69056764831413</v>
      </c>
    </row>
    <row r="32" spans="1:11" ht="21" customHeight="1">
      <c r="A32" s="212" t="s">
        <v>133</v>
      </c>
      <c r="B32" s="103">
        <v>503</v>
      </c>
      <c r="C32" s="49" t="s">
        <v>8</v>
      </c>
      <c r="D32" s="49" t="s">
        <v>15</v>
      </c>
      <c r="E32" s="49" t="s">
        <v>245</v>
      </c>
      <c r="F32" s="49" t="s">
        <v>127</v>
      </c>
      <c r="G32" s="26"/>
      <c r="H32" s="26"/>
      <c r="I32" s="264">
        <v>654.3</v>
      </c>
      <c r="J32" s="314">
        <v>651.4</v>
      </c>
      <c r="K32" s="263">
        <f t="shared" si="0"/>
        <v>99.55677823628305</v>
      </c>
    </row>
    <row r="33" spans="1:11" ht="27.75" customHeight="1">
      <c r="A33" s="121" t="s">
        <v>132</v>
      </c>
      <c r="B33" s="103">
        <v>503</v>
      </c>
      <c r="C33" s="49" t="s">
        <v>8</v>
      </c>
      <c r="D33" s="49" t="s">
        <v>15</v>
      </c>
      <c r="E33" s="49" t="s">
        <v>245</v>
      </c>
      <c r="F33" s="49" t="s">
        <v>225</v>
      </c>
      <c r="G33" s="26"/>
      <c r="H33" s="26"/>
      <c r="I33" s="264">
        <v>282.9</v>
      </c>
      <c r="J33" s="314">
        <v>282.9</v>
      </c>
      <c r="K33" s="263">
        <f t="shared" si="0"/>
        <v>100</v>
      </c>
    </row>
    <row r="34" spans="1:11" ht="30" customHeight="1" hidden="1">
      <c r="A34" s="206" t="s">
        <v>142</v>
      </c>
      <c r="B34" s="103">
        <v>503</v>
      </c>
      <c r="C34" s="49" t="s">
        <v>8</v>
      </c>
      <c r="D34" s="49" t="s">
        <v>15</v>
      </c>
      <c r="E34" s="49" t="s">
        <v>62</v>
      </c>
      <c r="F34" s="49" t="s">
        <v>129</v>
      </c>
      <c r="G34" s="26"/>
      <c r="H34" s="26">
        <v>713</v>
      </c>
      <c r="I34" s="26"/>
      <c r="J34" s="369"/>
      <c r="K34" s="263" t="e">
        <f t="shared" si="0"/>
        <v>#DIV/0!</v>
      </c>
    </row>
    <row r="35" spans="1:11" ht="0.75" customHeight="1" hidden="1">
      <c r="A35" s="16"/>
      <c r="B35" s="87"/>
      <c r="C35" s="49"/>
      <c r="D35" s="49"/>
      <c r="E35" s="49"/>
      <c r="F35" s="49"/>
      <c r="G35" s="28"/>
      <c r="H35" s="28"/>
      <c r="I35" s="28"/>
      <c r="J35" s="370"/>
      <c r="K35" s="263" t="e">
        <f t="shared" si="0"/>
        <v>#DIV/0!</v>
      </c>
    </row>
    <row r="36" spans="1:11" ht="18" customHeight="1" hidden="1">
      <c r="A36" s="207"/>
      <c r="B36" s="87"/>
      <c r="C36" s="49"/>
      <c r="D36" s="49"/>
      <c r="E36" s="49"/>
      <c r="F36" s="49"/>
      <c r="G36" s="28"/>
      <c r="H36" s="28"/>
      <c r="I36" s="28"/>
      <c r="J36" s="370"/>
      <c r="K36" s="263" t="e">
        <f t="shared" si="0"/>
        <v>#DIV/0!</v>
      </c>
    </row>
    <row r="37" spans="1:11" ht="26.25" customHeight="1">
      <c r="A37" s="208" t="s">
        <v>156</v>
      </c>
      <c r="B37" s="104">
        <v>503</v>
      </c>
      <c r="C37" s="21" t="s">
        <v>8</v>
      </c>
      <c r="D37" s="21" t="s">
        <v>11</v>
      </c>
      <c r="E37" s="21" t="s">
        <v>29</v>
      </c>
      <c r="F37" s="21" t="s">
        <v>7</v>
      </c>
      <c r="G37" s="178"/>
      <c r="H37" s="178"/>
      <c r="I37" s="263">
        <f aca="true" t="shared" si="1" ref="I37:J39">I38</f>
        <v>491.79999999999995</v>
      </c>
      <c r="J37" s="263">
        <f t="shared" si="1"/>
        <v>491.6</v>
      </c>
      <c r="K37" s="263">
        <f t="shared" si="0"/>
        <v>99.95933306222042</v>
      </c>
    </row>
    <row r="38" spans="1:11" ht="18" customHeight="1">
      <c r="A38" s="204" t="s">
        <v>155</v>
      </c>
      <c r="B38" s="87">
        <v>503</v>
      </c>
      <c r="C38" s="49" t="s">
        <v>8</v>
      </c>
      <c r="D38" s="49" t="s">
        <v>11</v>
      </c>
      <c r="E38" s="49" t="s">
        <v>246</v>
      </c>
      <c r="F38" s="49" t="s">
        <v>7</v>
      </c>
      <c r="G38" s="28"/>
      <c r="H38" s="28"/>
      <c r="I38" s="264">
        <f t="shared" si="1"/>
        <v>491.79999999999995</v>
      </c>
      <c r="J38" s="264">
        <f t="shared" si="1"/>
        <v>491.6</v>
      </c>
      <c r="K38" s="263">
        <f t="shared" si="0"/>
        <v>99.95933306222042</v>
      </c>
    </row>
    <row r="39" spans="1:11" ht="21" customHeight="1">
      <c r="A39" s="204" t="s">
        <v>154</v>
      </c>
      <c r="B39" s="87">
        <v>503</v>
      </c>
      <c r="C39" s="49" t="s">
        <v>8</v>
      </c>
      <c r="D39" s="49" t="s">
        <v>11</v>
      </c>
      <c r="E39" s="49" t="s">
        <v>247</v>
      </c>
      <c r="F39" s="49" t="s">
        <v>7</v>
      </c>
      <c r="G39" s="28"/>
      <c r="H39" s="28"/>
      <c r="I39" s="264">
        <f t="shared" si="1"/>
        <v>491.79999999999995</v>
      </c>
      <c r="J39" s="264">
        <f t="shared" si="1"/>
        <v>491.6</v>
      </c>
      <c r="K39" s="263">
        <f t="shared" si="0"/>
        <v>99.95933306222042</v>
      </c>
    </row>
    <row r="40" spans="1:16" ht="20.25" customHeight="1">
      <c r="A40" s="227" t="s">
        <v>240</v>
      </c>
      <c r="B40" s="187">
        <v>503</v>
      </c>
      <c r="C40" s="140" t="s">
        <v>8</v>
      </c>
      <c r="D40" s="140" t="s">
        <v>11</v>
      </c>
      <c r="E40" s="140" t="s">
        <v>247</v>
      </c>
      <c r="F40" s="140" t="s">
        <v>239</v>
      </c>
      <c r="G40" s="188"/>
      <c r="H40" s="188"/>
      <c r="I40" s="270">
        <f>686.8-195</f>
        <v>491.79999999999995</v>
      </c>
      <c r="J40" s="319">
        <v>491.6</v>
      </c>
      <c r="K40" s="263">
        <f t="shared" si="0"/>
        <v>99.95933306222042</v>
      </c>
      <c r="N40" s="395"/>
      <c r="O40" s="395"/>
      <c r="P40" s="395"/>
    </row>
    <row r="41" spans="1:11" ht="21" customHeight="1">
      <c r="A41" s="208" t="s">
        <v>19</v>
      </c>
      <c r="B41" s="38">
        <v>503</v>
      </c>
      <c r="C41" s="29" t="s">
        <v>8</v>
      </c>
      <c r="D41" s="29" t="s">
        <v>116</v>
      </c>
      <c r="E41" s="29" t="s">
        <v>29</v>
      </c>
      <c r="F41" s="29" t="s">
        <v>7</v>
      </c>
      <c r="G41" s="39" t="e">
        <f>#REF!+#REF!+#REF!</f>
        <v>#REF!</v>
      </c>
      <c r="H41" s="39" t="e">
        <f>#REF!+#REF!+#REF!</f>
        <v>#REF!</v>
      </c>
      <c r="I41" s="263">
        <f>I42+I50+I52</f>
        <v>6151.1</v>
      </c>
      <c r="J41" s="263">
        <f>J42+J50+J52</f>
        <v>6071.9000000000015</v>
      </c>
      <c r="K41" s="263">
        <f t="shared" si="0"/>
        <v>98.71242541984361</v>
      </c>
    </row>
    <row r="42" spans="1:11" ht="28.5" customHeight="1">
      <c r="A42" s="16" t="s">
        <v>110</v>
      </c>
      <c r="B42" s="37">
        <v>503</v>
      </c>
      <c r="C42" s="32" t="s">
        <v>8</v>
      </c>
      <c r="D42" s="32" t="s">
        <v>116</v>
      </c>
      <c r="E42" s="98" t="s">
        <v>125</v>
      </c>
      <c r="F42" s="98" t="s">
        <v>7</v>
      </c>
      <c r="G42" s="8"/>
      <c r="H42" s="40"/>
      <c r="I42" s="263">
        <f>I43</f>
        <v>3892.2000000000003</v>
      </c>
      <c r="J42" s="263">
        <f>J43</f>
        <v>3820.9000000000005</v>
      </c>
      <c r="K42" s="263">
        <f t="shared" si="0"/>
        <v>98.168131134063</v>
      </c>
    </row>
    <row r="43" spans="1:11" ht="30" customHeight="1">
      <c r="A43" s="204" t="s">
        <v>20</v>
      </c>
      <c r="B43" s="37">
        <v>503</v>
      </c>
      <c r="C43" s="32" t="s">
        <v>8</v>
      </c>
      <c r="D43" s="32" t="s">
        <v>116</v>
      </c>
      <c r="E43" s="98" t="s">
        <v>248</v>
      </c>
      <c r="F43" s="32" t="s">
        <v>7</v>
      </c>
      <c r="G43" s="41"/>
      <c r="H43" s="41">
        <v>2777</v>
      </c>
      <c r="I43" s="264">
        <f>I44+I45+I46+I47+I48</f>
        <v>3892.2000000000003</v>
      </c>
      <c r="J43" s="264">
        <f>J44+J45+J46+J47+J48</f>
        <v>3820.9000000000005</v>
      </c>
      <c r="K43" s="263">
        <f t="shared" si="0"/>
        <v>98.168131134063</v>
      </c>
    </row>
    <row r="44" spans="1:11" ht="21" customHeight="1">
      <c r="A44" s="212" t="s">
        <v>133</v>
      </c>
      <c r="B44" s="37">
        <v>503</v>
      </c>
      <c r="C44" s="32" t="s">
        <v>8</v>
      </c>
      <c r="D44" s="32" t="s">
        <v>116</v>
      </c>
      <c r="E44" s="98" t="s">
        <v>248</v>
      </c>
      <c r="F44" s="98" t="s">
        <v>135</v>
      </c>
      <c r="G44" s="84"/>
      <c r="H44" s="84"/>
      <c r="I44" s="264">
        <v>2270.1</v>
      </c>
      <c r="J44" s="319">
        <v>2270.1</v>
      </c>
      <c r="K44" s="263">
        <f t="shared" si="0"/>
        <v>100</v>
      </c>
    </row>
    <row r="45" spans="1:11" ht="30.75" customHeight="1">
      <c r="A45" s="121" t="s">
        <v>132</v>
      </c>
      <c r="B45" s="37">
        <v>503</v>
      </c>
      <c r="C45" s="32" t="s">
        <v>8</v>
      </c>
      <c r="D45" s="32" t="s">
        <v>116</v>
      </c>
      <c r="E45" s="98" t="s">
        <v>248</v>
      </c>
      <c r="F45" s="98" t="s">
        <v>136</v>
      </c>
      <c r="G45" s="84"/>
      <c r="H45" s="84"/>
      <c r="I45" s="264">
        <v>0.4</v>
      </c>
      <c r="J45" s="319">
        <v>0.4</v>
      </c>
      <c r="K45" s="263">
        <f t="shared" si="0"/>
        <v>100</v>
      </c>
    </row>
    <row r="46" spans="1:11" ht="29.25" customHeight="1">
      <c r="A46" s="121" t="s">
        <v>142</v>
      </c>
      <c r="B46" s="37">
        <v>503</v>
      </c>
      <c r="C46" s="32" t="s">
        <v>8</v>
      </c>
      <c r="D46" s="32" t="s">
        <v>116</v>
      </c>
      <c r="E46" s="98" t="s">
        <v>248</v>
      </c>
      <c r="F46" s="98" t="s">
        <v>129</v>
      </c>
      <c r="G46" s="84"/>
      <c r="H46" s="84"/>
      <c r="I46" s="264">
        <v>1608.4</v>
      </c>
      <c r="J46" s="319">
        <v>1538.8</v>
      </c>
      <c r="K46" s="263">
        <f t="shared" si="0"/>
        <v>95.67271822929618</v>
      </c>
    </row>
    <row r="47" spans="1:11" ht="28.5" customHeight="1">
      <c r="A47" s="212" t="s">
        <v>131</v>
      </c>
      <c r="B47" s="37">
        <v>503</v>
      </c>
      <c r="C47" s="32" t="s">
        <v>8</v>
      </c>
      <c r="D47" s="32" t="s">
        <v>116</v>
      </c>
      <c r="E47" s="98" t="s">
        <v>248</v>
      </c>
      <c r="F47" s="98" t="s">
        <v>130</v>
      </c>
      <c r="G47" s="84"/>
      <c r="H47" s="84"/>
      <c r="I47" s="264">
        <f>10-6.7</f>
        <v>3.3</v>
      </c>
      <c r="J47" s="319">
        <v>3.3</v>
      </c>
      <c r="K47" s="263">
        <f t="shared" si="0"/>
        <v>100</v>
      </c>
    </row>
    <row r="48" spans="1:11" ht="28.5" customHeight="1">
      <c r="A48" s="212" t="s">
        <v>138</v>
      </c>
      <c r="B48" s="37">
        <v>503</v>
      </c>
      <c r="C48" s="32" t="s">
        <v>8</v>
      </c>
      <c r="D48" s="32" t="s">
        <v>116</v>
      </c>
      <c r="E48" s="98" t="s">
        <v>248</v>
      </c>
      <c r="F48" s="98" t="s">
        <v>137</v>
      </c>
      <c r="G48" s="84"/>
      <c r="H48" s="84"/>
      <c r="I48" s="264">
        <v>10</v>
      </c>
      <c r="J48" s="319">
        <v>8.3</v>
      </c>
      <c r="K48" s="263">
        <f t="shared" si="0"/>
        <v>83</v>
      </c>
    </row>
    <row r="49" spans="1:11" ht="70.5" customHeight="1">
      <c r="A49" s="212" t="s">
        <v>263</v>
      </c>
      <c r="B49" s="37">
        <v>503</v>
      </c>
      <c r="C49" s="98" t="s">
        <v>8</v>
      </c>
      <c r="D49" s="98" t="s">
        <v>116</v>
      </c>
      <c r="E49" s="98" t="s">
        <v>264</v>
      </c>
      <c r="F49" s="98" t="s">
        <v>7</v>
      </c>
      <c r="G49" s="84"/>
      <c r="H49" s="84"/>
      <c r="I49" s="264">
        <f>I50</f>
        <v>1442.3000000000002</v>
      </c>
      <c r="J49" s="264">
        <f>J50</f>
        <v>1439.4</v>
      </c>
      <c r="K49" s="263">
        <f t="shared" si="0"/>
        <v>99.79893226097205</v>
      </c>
    </row>
    <row r="50" spans="1:11" ht="45.75" customHeight="1">
      <c r="A50" s="121" t="s">
        <v>150</v>
      </c>
      <c r="B50" s="37">
        <v>503</v>
      </c>
      <c r="C50" s="32" t="s">
        <v>8</v>
      </c>
      <c r="D50" s="32" t="s">
        <v>116</v>
      </c>
      <c r="E50" s="98" t="s">
        <v>1</v>
      </c>
      <c r="F50" s="98" t="s">
        <v>7</v>
      </c>
      <c r="G50" s="84"/>
      <c r="H50" s="84"/>
      <c r="I50" s="264">
        <f>I51</f>
        <v>1442.3000000000002</v>
      </c>
      <c r="J50" s="264">
        <f>J51</f>
        <v>1439.4</v>
      </c>
      <c r="K50" s="263">
        <f t="shared" si="0"/>
        <v>99.79893226097205</v>
      </c>
    </row>
    <row r="51" spans="1:11" ht="19.5" customHeight="1">
      <c r="A51" s="212" t="s">
        <v>133</v>
      </c>
      <c r="B51" s="37">
        <v>503</v>
      </c>
      <c r="C51" s="32" t="s">
        <v>8</v>
      </c>
      <c r="D51" s="32" t="s">
        <v>116</v>
      </c>
      <c r="E51" s="98" t="s">
        <v>1</v>
      </c>
      <c r="F51" s="98" t="s">
        <v>135</v>
      </c>
      <c r="G51" s="97">
        <f>25.8+240.2</f>
        <v>266</v>
      </c>
      <c r="H51" s="84"/>
      <c r="I51" s="264">
        <f>1452.4+700-710.1</f>
        <v>1442.3000000000002</v>
      </c>
      <c r="J51" s="317">
        <v>1439.4</v>
      </c>
      <c r="K51" s="263">
        <f t="shared" si="0"/>
        <v>99.79893226097205</v>
      </c>
    </row>
    <row r="52" spans="1:11" ht="117" customHeight="1">
      <c r="A52" s="212" t="s">
        <v>158</v>
      </c>
      <c r="B52" s="37">
        <v>503</v>
      </c>
      <c r="C52" s="98" t="s">
        <v>8</v>
      </c>
      <c r="D52" s="98" t="s">
        <v>116</v>
      </c>
      <c r="E52" s="98" t="s">
        <v>159</v>
      </c>
      <c r="F52" s="98" t="s">
        <v>7</v>
      </c>
      <c r="G52" s="97"/>
      <c r="H52" s="84"/>
      <c r="I52" s="264">
        <f>I53+I57+I60+I63</f>
        <v>816.6</v>
      </c>
      <c r="J52" s="264">
        <f>J53+J57+J60+J63</f>
        <v>811.6</v>
      </c>
      <c r="K52" s="263">
        <f t="shared" si="0"/>
        <v>99.3877051187852</v>
      </c>
    </row>
    <row r="53" spans="1:11" ht="72.75" customHeight="1">
      <c r="A53" s="139" t="s">
        <v>160</v>
      </c>
      <c r="B53" s="87">
        <v>503</v>
      </c>
      <c r="C53" s="49" t="s">
        <v>8</v>
      </c>
      <c r="D53" s="49" t="s">
        <v>116</v>
      </c>
      <c r="E53" s="140" t="s">
        <v>161</v>
      </c>
      <c r="F53" s="49" t="s">
        <v>7</v>
      </c>
      <c r="G53" s="97"/>
      <c r="H53" s="84"/>
      <c r="I53" s="264">
        <f>I54+I55+I56</f>
        <v>428.2</v>
      </c>
      <c r="J53" s="264">
        <f>J54+J55+J56</f>
        <v>428.2</v>
      </c>
      <c r="K53" s="263">
        <f t="shared" si="0"/>
        <v>100</v>
      </c>
    </row>
    <row r="54" spans="1:11" ht="20.25" customHeight="1">
      <c r="A54" s="227" t="s">
        <v>133</v>
      </c>
      <c r="B54" s="87">
        <v>503</v>
      </c>
      <c r="C54" s="49" t="s">
        <v>8</v>
      </c>
      <c r="D54" s="49" t="s">
        <v>116</v>
      </c>
      <c r="E54" s="140" t="s">
        <v>161</v>
      </c>
      <c r="F54" s="49" t="s">
        <v>127</v>
      </c>
      <c r="G54" s="97"/>
      <c r="H54" s="84"/>
      <c r="I54" s="264">
        <f>333.7-62-0.2</f>
        <v>271.5</v>
      </c>
      <c r="J54" s="319">
        <v>271.5</v>
      </c>
      <c r="K54" s="263">
        <f t="shared" si="0"/>
        <v>100</v>
      </c>
    </row>
    <row r="55" spans="1:11" ht="30.75" customHeight="1">
      <c r="A55" s="121" t="s">
        <v>132</v>
      </c>
      <c r="B55" s="87">
        <v>503</v>
      </c>
      <c r="C55" s="49" t="s">
        <v>8</v>
      </c>
      <c r="D55" s="49" t="s">
        <v>116</v>
      </c>
      <c r="E55" s="140" t="s">
        <v>161</v>
      </c>
      <c r="F55" s="49" t="s">
        <v>128</v>
      </c>
      <c r="G55" s="97"/>
      <c r="H55" s="84"/>
      <c r="I55" s="264">
        <v>0.2</v>
      </c>
      <c r="J55" s="319">
        <v>0.2</v>
      </c>
      <c r="K55" s="263">
        <f t="shared" si="0"/>
        <v>100</v>
      </c>
    </row>
    <row r="56" spans="1:11" ht="28.5" customHeight="1">
      <c r="A56" s="228" t="s">
        <v>142</v>
      </c>
      <c r="B56" s="87">
        <v>503</v>
      </c>
      <c r="C56" s="49" t="s">
        <v>8</v>
      </c>
      <c r="D56" s="49" t="s">
        <v>116</v>
      </c>
      <c r="E56" s="140" t="s">
        <v>161</v>
      </c>
      <c r="F56" s="49" t="s">
        <v>129</v>
      </c>
      <c r="G56" s="97"/>
      <c r="H56" s="84"/>
      <c r="I56" s="264">
        <v>156.5</v>
      </c>
      <c r="J56" s="319">
        <v>156.5</v>
      </c>
      <c r="K56" s="263">
        <f t="shared" si="0"/>
        <v>100</v>
      </c>
    </row>
    <row r="57" spans="1:11" ht="134.25" customHeight="1">
      <c r="A57" s="16" t="s">
        <v>162</v>
      </c>
      <c r="B57" s="37">
        <v>503</v>
      </c>
      <c r="C57" s="98" t="s">
        <v>8</v>
      </c>
      <c r="D57" s="98" t="s">
        <v>116</v>
      </c>
      <c r="E57" s="98" t="s">
        <v>249</v>
      </c>
      <c r="F57" s="98" t="s">
        <v>7</v>
      </c>
      <c r="G57" s="97"/>
      <c r="H57" s="84"/>
      <c r="I57" s="264">
        <f>I58+I59</f>
        <v>114.89999999999999</v>
      </c>
      <c r="J57" s="264">
        <f>J58+J59</f>
        <v>110.19999999999999</v>
      </c>
      <c r="K57" s="263">
        <f t="shared" si="0"/>
        <v>95.9094865100087</v>
      </c>
    </row>
    <row r="58" spans="1:11" ht="18.75" customHeight="1">
      <c r="A58" s="212" t="s">
        <v>133</v>
      </c>
      <c r="B58" s="37">
        <v>503</v>
      </c>
      <c r="C58" s="98" t="s">
        <v>8</v>
      </c>
      <c r="D58" s="98" t="s">
        <v>116</v>
      </c>
      <c r="E58" s="98" t="s">
        <v>249</v>
      </c>
      <c r="F58" s="98" t="s">
        <v>127</v>
      </c>
      <c r="G58" s="97"/>
      <c r="H58" s="84"/>
      <c r="I58" s="264">
        <v>99.1</v>
      </c>
      <c r="J58" s="319">
        <v>99.1</v>
      </c>
      <c r="K58" s="263">
        <f t="shared" si="0"/>
        <v>100</v>
      </c>
    </row>
    <row r="59" spans="1:11" ht="29.25" customHeight="1">
      <c r="A59" s="121" t="s">
        <v>142</v>
      </c>
      <c r="B59" s="37">
        <v>503</v>
      </c>
      <c r="C59" s="98" t="s">
        <v>8</v>
      </c>
      <c r="D59" s="98" t="s">
        <v>116</v>
      </c>
      <c r="E59" s="98" t="s">
        <v>249</v>
      </c>
      <c r="F59" s="98" t="s">
        <v>129</v>
      </c>
      <c r="G59" s="97"/>
      <c r="H59" s="84"/>
      <c r="I59" s="264">
        <v>15.8</v>
      </c>
      <c r="J59" s="319">
        <v>11.1</v>
      </c>
      <c r="K59" s="263">
        <f t="shared" si="0"/>
        <v>70.25316455696202</v>
      </c>
    </row>
    <row r="60" spans="1:11" ht="117.75" customHeight="1">
      <c r="A60" s="141" t="s">
        <v>163</v>
      </c>
      <c r="B60" s="37">
        <v>503</v>
      </c>
      <c r="C60" s="98" t="s">
        <v>8</v>
      </c>
      <c r="D60" s="98" t="s">
        <v>116</v>
      </c>
      <c r="E60" s="142" t="s">
        <v>164</v>
      </c>
      <c r="F60" s="98" t="s">
        <v>7</v>
      </c>
      <c r="G60" s="97"/>
      <c r="H60" s="84"/>
      <c r="I60" s="264">
        <f>I61+I62</f>
        <v>266</v>
      </c>
      <c r="J60" s="264">
        <f>J61+J62</f>
        <v>266</v>
      </c>
      <c r="K60" s="263">
        <f t="shared" si="0"/>
        <v>100</v>
      </c>
    </row>
    <row r="61" spans="1:11" ht="23.25" customHeight="1">
      <c r="A61" s="212" t="s">
        <v>133</v>
      </c>
      <c r="B61" s="37">
        <v>503</v>
      </c>
      <c r="C61" s="98" t="s">
        <v>8</v>
      </c>
      <c r="D61" s="98" t="s">
        <v>116</v>
      </c>
      <c r="E61" s="142" t="s">
        <v>164</v>
      </c>
      <c r="F61" s="49" t="s">
        <v>127</v>
      </c>
      <c r="G61" s="97"/>
      <c r="H61" s="84"/>
      <c r="I61" s="264">
        <v>259.6</v>
      </c>
      <c r="J61" s="319">
        <v>259.6</v>
      </c>
      <c r="K61" s="263">
        <f t="shared" si="0"/>
        <v>100</v>
      </c>
    </row>
    <row r="62" spans="1:11" ht="30.75" customHeight="1">
      <c r="A62" s="121" t="s">
        <v>142</v>
      </c>
      <c r="B62" s="37">
        <v>503</v>
      </c>
      <c r="C62" s="98" t="s">
        <v>8</v>
      </c>
      <c r="D62" s="98" t="s">
        <v>116</v>
      </c>
      <c r="E62" s="142" t="s">
        <v>164</v>
      </c>
      <c r="F62" s="49" t="s">
        <v>129</v>
      </c>
      <c r="G62" s="97"/>
      <c r="H62" s="84"/>
      <c r="I62" s="264">
        <v>6.4</v>
      </c>
      <c r="J62" s="319">
        <v>6.4</v>
      </c>
      <c r="K62" s="263">
        <f t="shared" si="0"/>
        <v>100</v>
      </c>
    </row>
    <row r="63" spans="1:11" ht="147.75" customHeight="1">
      <c r="A63" s="14" t="s">
        <v>165</v>
      </c>
      <c r="B63" s="37">
        <v>503</v>
      </c>
      <c r="C63" s="98" t="s">
        <v>8</v>
      </c>
      <c r="D63" s="98" t="s">
        <v>116</v>
      </c>
      <c r="E63" s="144" t="s">
        <v>166</v>
      </c>
      <c r="F63" s="98" t="s">
        <v>7</v>
      </c>
      <c r="G63" s="97"/>
      <c r="H63" s="84"/>
      <c r="I63" s="264">
        <f>I64+I65</f>
        <v>7.5</v>
      </c>
      <c r="J63" s="264">
        <f>J64+J65</f>
        <v>7.2</v>
      </c>
      <c r="K63" s="263">
        <f t="shared" si="0"/>
        <v>96.00000000000001</v>
      </c>
    </row>
    <row r="64" spans="1:11" ht="18.75" customHeight="1">
      <c r="A64" s="212" t="s">
        <v>133</v>
      </c>
      <c r="B64" s="37">
        <v>503</v>
      </c>
      <c r="C64" s="98" t="s">
        <v>8</v>
      </c>
      <c r="D64" s="98" t="s">
        <v>116</v>
      </c>
      <c r="E64" s="144" t="s">
        <v>167</v>
      </c>
      <c r="F64" s="98" t="s">
        <v>127</v>
      </c>
      <c r="G64" s="97"/>
      <c r="H64" s="84"/>
      <c r="I64" s="264">
        <f>12-5.2</f>
        <v>6.8</v>
      </c>
      <c r="J64" s="319">
        <v>6.5</v>
      </c>
      <c r="K64" s="263">
        <f t="shared" si="0"/>
        <v>95.58823529411765</v>
      </c>
    </row>
    <row r="65" spans="1:11" ht="30.75" customHeight="1">
      <c r="A65" s="121" t="s">
        <v>170</v>
      </c>
      <c r="B65" s="37">
        <v>503</v>
      </c>
      <c r="C65" s="98" t="s">
        <v>8</v>
      </c>
      <c r="D65" s="98" t="s">
        <v>116</v>
      </c>
      <c r="E65" s="144" t="s">
        <v>166</v>
      </c>
      <c r="F65" s="98" t="s">
        <v>129</v>
      </c>
      <c r="G65" s="97"/>
      <c r="H65" s="84"/>
      <c r="I65" s="264">
        <v>0.7</v>
      </c>
      <c r="J65" s="319">
        <v>0.7</v>
      </c>
      <c r="K65" s="263">
        <f t="shared" si="0"/>
        <v>100</v>
      </c>
    </row>
    <row r="66" spans="1:11" ht="30.75" customHeight="1">
      <c r="A66" s="209" t="s">
        <v>117</v>
      </c>
      <c r="B66" s="86">
        <v>503</v>
      </c>
      <c r="C66" s="88" t="s">
        <v>24</v>
      </c>
      <c r="D66" s="88" t="s">
        <v>16</v>
      </c>
      <c r="E66" s="88" t="s">
        <v>29</v>
      </c>
      <c r="F66" s="88" t="s">
        <v>7</v>
      </c>
      <c r="G66" s="42" t="e">
        <f>#REF!</f>
        <v>#REF!</v>
      </c>
      <c r="H66" s="42" t="e">
        <f>#REF!</f>
        <v>#REF!</v>
      </c>
      <c r="I66" s="263">
        <f>I67</f>
        <v>424.5</v>
      </c>
      <c r="J66" s="263">
        <f>J67</f>
        <v>424.5</v>
      </c>
      <c r="K66" s="263">
        <f t="shared" si="0"/>
        <v>100</v>
      </c>
    </row>
    <row r="67" spans="1:11" ht="20.25" customHeight="1">
      <c r="A67" s="209" t="s">
        <v>168</v>
      </c>
      <c r="B67" s="107">
        <v>503</v>
      </c>
      <c r="C67" s="29" t="s">
        <v>24</v>
      </c>
      <c r="D67" s="29" t="s">
        <v>15</v>
      </c>
      <c r="E67" s="29" t="s">
        <v>29</v>
      </c>
      <c r="F67" s="29" t="s">
        <v>7</v>
      </c>
      <c r="G67" s="42"/>
      <c r="H67" s="42"/>
      <c r="I67" s="263">
        <f>I68</f>
        <v>424.5</v>
      </c>
      <c r="J67" s="263">
        <f>J68</f>
        <v>424.5</v>
      </c>
      <c r="K67" s="263">
        <f t="shared" si="0"/>
        <v>100</v>
      </c>
    </row>
    <row r="68" spans="1:11" ht="35.25" customHeight="1">
      <c r="A68" s="157" t="s">
        <v>169</v>
      </c>
      <c r="B68" s="107">
        <v>503</v>
      </c>
      <c r="C68" s="29" t="s">
        <v>24</v>
      </c>
      <c r="D68" s="29" t="s">
        <v>15</v>
      </c>
      <c r="E68" s="29" t="s">
        <v>107</v>
      </c>
      <c r="F68" s="29" t="s">
        <v>7</v>
      </c>
      <c r="G68" s="42"/>
      <c r="H68" s="42"/>
      <c r="I68" s="263">
        <f>I69+I70</f>
        <v>424.5</v>
      </c>
      <c r="J68" s="263">
        <f>J69+J70</f>
        <v>424.5</v>
      </c>
      <c r="K68" s="263">
        <f t="shared" si="0"/>
        <v>100</v>
      </c>
    </row>
    <row r="69" spans="1:11" ht="24" customHeight="1">
      <c r="A69" s="212" t="s">
        <v>133</v>
      </c>
      <c r="B69" s="89">
        <v>503</v>
      </c>
      <c r="C69" s="32" t="s">
        <v>24</v>
      </c>
      <c r="D69" s="32" t="s">
        <v>15</v>
      </c>
      <c r="E69" s="32" t="s">
        <v>107</v>
      </c>
      <c r="F69" s="32" t="s">
        <v>127</v>
      </c>
      <c r="G69" s="42"/>
      <c r="H69" s="42"/>
      <c r="I69" s="264">
        <v>381.2</v>
      </c>
      <c r="J69" s="371">
        <v>381.2</v>
      </c>
      <c r="K69" s="263">
        <f t="shared" si="0"/>
        <v>100</v>
      </c>
    </row>
    <row r="70" spans="1:11" ht="33.75" customHeight="1">
      <c r="A70" s="121" t="s">
        <v>170</v>
      </c>
      <c r="B70" s="89">
        <v>503</v>
      </c>
      <c r="C70" s="32" t="s">
        <v>24</v>
      </c>
      <c r="D70" s="32" t="s">
        <v>15</v>
      </c>
      <c r="E70" s="32" t="s">
        <v>107</v>
      </c>
      <c r="F70" s="98" t="s">
        <v>129</v>
      </c>
      <c r="G70" s="42"/>
      <c r="H70" s="42"/>
      <c r="I70" s="264">
        <v>43.3</v>
      </c>
      <c r="J70" s="371">
        <v>43.3</v>
      </c>
      <c r="K70" s="263">
        <f t="shared" si="0"/>
        <v>100</v>
      </c>
    </row>
    <row r="71" spans="1:11" ht="27" customHeight="1">
      <c r="A71" s="208" t="s">
        <v>50</v>
      </c>
      <c r="B71" s="107">
        <v>503</v>
      </c>
      <c r="C71" s="29" t="s">
        <v>15</v>
      </c>
      <c r="D71" s="29" t="s">
        <v>16</v>
      </c>
      <c r="E71" s="29" t="s">
        <v>29</v>
      </c>
      <c r="F71" s="29" t="s">
        <v>7</v>
      </c>
      <c r="G71" s="46">
        <f>G78</f>
        <v>0</v>
      </c>
      <c r="H71" s="46" t="e">
        <f>H78</f>
        <v>#REF!</v>
      </c>
      <c r="I71" s="263">
        <f>I78+I75</f>
        <v>1550.7000000000003</v>
      </c>
      <c r="J71" s="263">
        <f>J78+J75</f>
        <v>1287.6999999999998</v>
      </c>
      <c r="K71" s="263">
        <f t="shared" si="0"/>
        <v>83.03991745663247</v>
      </c>
    </row>
    <row r="72" spans="1:11" ht="18" customHeight="1" hidden="1">
      <c r="A72" s="204" t="s">
        <v>98</v>
      </c>
      <c r="B72" s="107">
        <v>503</v>
      </c>
      <c r="C72" s="29" t="s">
        <v>15</v>
      </c>
      <c r="D72" s="29" t="s">
        <v>9</v>
      </c>
      <c r="E72" s="29" t="s">
        <v>55</v>
      </c>
      <c r="F72" s="29" t="s">
        <v>7</v>
      </c>
      <c r="G72" s="46"/>
      <c r="H72" s="46"/>
      <c r="I72" s="263">
        <f>I73</f>
        <v>0</v>
      </c>
      <c r="J72" s="372"/>
      <c r="K72" s="263" t="e">
        <f t="shared" si="0"/>
        <v>#DIV/0!</v>
      </c>
    </row>
    <row r="73" spans="1:11" ht="54" customHeight="1" hidden="1">
      <c r="A73" s="210" t="s">
        <v>97</v>
      </c>
      <c r="B73" s="107">
        <v>503</v>
      </c>
      <c r="C73" s="32" t="s">
        <v>15</v>
      </c>
      <c r="D73" s="32" t="s">
        <v>9</v>
      </c>
      <c r="E73" s="32" t="s">
        <v>114</v>
      </c>
      <c r="F73" s="32" t="s">
        <v>7</v>
      </c>
      <c r="G73" s="46"/>
      <c r="H73" s="46"/>
      <c r="I73" s="264">
        <f>I74</f>
        <v>0</v>
      </c>
      <c r="J73" s="372"/>
      <c r="K73" s="263" t="e">
        <f t="shared" si="0"/>
        <v>#DIV/0!</v>
      </c>
    </row>
    <row r="74" spans="1:11" ht="52.5" customHeight="1" hidden="1">
      <c r="A74" s="211" t="s">
        <v>115</v>
      </c>
      <c r="B74" s="107">
        <v>503</v>
      </c>
      <c r="C74" s="29" t="s">
        <v>15</v>
      </c>
      <c r="D74" s="29" t="s">
        <v>9</v>
      </c>
      <c r="E74" s="29" t="s">
        <v>114</v>
      </c>
      <c r="F74" s="29" t="s">
        <v>108</v>
      </c>
      <c r="G74" s="46"/>
      <c r="H74" s="46"/>
      <c r="I74" s="264"/>
      <c r="J74" s="372"/>
      <c r="K74" s="263" t="e">
        <f t="shared" si="0"/>
        <v>#DIV/0!</v>
      </c>
    </row>
    <row r="75" spans="1:11" ht="21.75" customHeight="1">
      <c r="A75" s="213" t="s">
        <v>171</v>
      </c>
      <c r="B75" s="107">
        <v>503</v>
      </c>
      <c r="C75" s="29" t="s">
        <v>15</v>
      </c>
      <c r="D75" s="29" t="s">
        <v>45</v>
      </c>
      <c r="E75" s="29" t="s">
        <v>29</v>
      </c>
      <c r="F75" s="29" t="s">
        <v>7</v>
      </c>
      <c r="G75" s="46"/>
      <c r="H75" s="46"/>
      <c r="I75" s="264">
        <f>I76</f>
        <v>41.1</v>
      </c>
      <c r="J75" s="264">
        <f>J76</f>
        <v>41.1</v>
      </c>
      <c r="K75" s="263">
        <f t="shared" si="0"/>
        <v>100</v>
      </c>
    </row>
    <row r="76" spans="1:11" ht="57" customHeight="1">
      <c r="A76" s="5" t="s">
        <v>172</v>
      </c>
      <c r="B76" s="108" t="s">
        <v>49</v>
      </c>
      <c r="C76" s="32" t="s">
        <v>15</v>
      </c>
      <c r="D76" s="32" t="s">
        <v>45</v>
      </c>
      <c r="E76" s="98" t="s">
        <v>252</v>
      </c>
      <c r="F76" s="32" t="s">
        <v>7</v>
      </c>
      <c r="G76" s="46"/>
      <c r="H76" s="46"/>
      <c r="I76" s="264">
        <f>I77</f>
        <v>41.1</v>
      </c>
      <c r="J76" s="264">
        <f>J77</f>
        <v>41.1</v>
      </c>
      <c r="K76" s="263">
        <f t="shared" si="0"/>
        <v>100</v>
      </c>
    </row>
    <row r="77" spans="1:11" ht="35.25" customHeight="1">
      <c r="A77" s="121" t="s">
        <v>142</v>
      </c>
      <c r="B77" s="108" t="s">
        <v>49</v>
      </c>
      <c r="C77" s="32" t="s">
        <v>15</v>
      </c>
      <c r="D77" s="32" t="s">
        <v>45</v>
      </c>
      <c r="E77" s="98" t="s">
        <v>252</v>
      </c>
      <c r="F77" s="32" t="s">
        <v>129</v>
      </c>
      <c r="G77" s="46"/>
      <c r="H77" s="46"/>
      <c r="I77" s="264">
        <v>41.1</v>
      </c>
      <c r="J77" s="373">
        <v>41.1</v>
      </c>
      <c r="K77" s="263">
        <f t="shared" si="0"/>
        <v>100</v>
      </c>
    </row>
    <row r="78" spans="1:11" ht="28.5" customHeight="1">
      <c r="A78" s="208" t="s">
        <v>101</v>
      </c>
      <c r="B78" s="107">
        <v>503</v>
      </c>
      <c r="C78" s="29" t="s">
        <v>15</v>
      </c>
      <c r="D78" s="29" t="s">
        <v>54</v>
      </c>
      <c r="E78" s="29" t="s">
        <v>29</v>
      </c>
      <c r="F78" s="214" t="s">
        <v>7</v>
      </c>
      <c r="G78" s="47"/>
      <c r="H78" s="47" t="e">
        <f>#REF!+#REF!+H81</f>
        <v>#REF!</v>
      </c>
      <c r="I78" s="263">
        <f>I79+I81</f>
        <v>1509.6000000000004</v>
      </c>
      <c r="J78" s="263">
        <f>J79+J81</f>
        <v>1246.6</v>
      </c>
      <c r="K78" s="263">
        <f t="shared" si="0"/>
        <v>82.57816640169578</v>
      </c>
    </row>
    <row r="79" spans="1:11" ht="49.5" customHeight="1">
      <c r="A79" s="204" t="s">
        <v>102</v>
      </c>
      <c r="B79" s="87">
        <v>503</v>
      </c>
      <c r="C79" s="49" t="s">
        <v>15</v>
      </c>
      <c r="D79" s="49" t="s">
        <v>54</v>
      </c>
      <c r="E79" s="241" t="s">
        <v>275</v>
      </c>
      <c r="F79" s="50" t="s">
        <v>7</v>
      </c>
      <c r="G79" s="47"/>
      <c r="H79" s="47"/>
      <c r="I79" s="264">
        <f>I80</f>
        <v>1304.6000000000004</v>
      </c>
      <c r="J79" s="264">
        <f>J80</f>
        <v>1041.6</v>
      </c>
      <c r="K79" s="263">
        <f t="shared" si="0"/>
        <v>79.84056415759618</v>
      </c>
    </row>
    <row r="80" spans="1:11" ht="21.75" customHeight="1">
      <c r="A80" s="204" t="s">
        <v>85</v>
      </c>
      <c r="B80" s="87">
        <v>503</v>
      </c>
      <c r="C80" s="49" t="s">
        <v>15</v>
      </c>
      <c r="D80" s="49" t="s">
        <v>54</v>
      </c>
      <c r="E80" s="241" t="s">
        <v>275</v>
      </c>
      <c r="F80" s="50" t="s">
        <v>271</v>
      </c>
      <c r="G80" s="47"/>
      <c r="H80" s="47"/>
      <c r="I80" s="264">
        <f>3824.6+480-3000</f>
        <v>1304.6000000000004</v>
      </c>
      <c r="J80" s="373">
        <v>1041.6</v>
      </c>
      <c r="K80" s="263">
        <f aca="true" t="shared" si="2" ref="K80:K144">J80/I80*100</f>
        <v>79.84056415759618</v>
      </c>
    </row>
    <row r="81" spans="1:11" ht="42.75" customHeight="1">
      <c r="A81" s="204" t="s">
        <v>269</v>
      </c>
      <c r="B81" s="87">
        <v>503</v>
      </c>
      <c r="C81" s="49" t="s">
        <v>15</v>
      </c>
      <c r="D81" s="49" t="s">
        <v>54</v>
      </c>
      <c r="E81" s="51" t="s">
        <v>220</v>
      </c>
      <c r="F81" s="49" t="s">
        <v>7</v>
      </c>
      <c r="G81" s="46"/>
      <c r="H81" s="46" t="e">
        <f>#REF!</f>
        <v>#REF!</v>
      </c>
      <c r="I81" s="264">
        <f>I82</f>
        <v>205</v>
      </c>
      <c r="J81" s="264">
        <f>J82</f>
        <v>205</v>
      </c>
      <c r="K81" s="263">
        <f t="shared" si="2"/>
        <v>100</v>
      </c>
    </row>
    <row r="82" spans="1:11" ht="18.75" customHeight="1">
      <c r="A82" s="204" t="s">
        <v>85</v>
      </c>
      <c r="B82" s="87">
        <v>503</v>
      </c>
      <c r="C82" s="49" t="s">
        <v>15</v>
      </c>
      <c r="D82" s="49" t="s">
        <v>54</v>
      </c>
      <c r="E82" s="51" t="s">
        <v>220</v>
      </c>
      <c r="F82" s="49" t="s">
        <v>271</v>
      </c>
      <c r="G82" s="47"/>
      <c r="H82" s="47">
        <v>50</v>
      </c>
      <c r="I82" s="264">
        <v>205</v>
      </c>
      <c r="J82" s="318">
        <v>205</v>
      </c>
      <c r="K82" s="263">
        <f t="shared" si="2"/>
        <v>100</v>
      </c>
    </row>
    <row r="83" spans="1:11" ht="21" customHeight="1">
      <c r="A83" s="208" t="s">
        <v>94</v>
      </c>
      <c r="B83" s="104">
        <v>503</v>
      </c>
      <c r="C83" s="21" t="s">
        <v>45</v>
      </c>
      <c r="D83" s="21" t="s">
        <v>16</v>
      </c>
      <c r="E83" s="179" t="s">
        <v>29</v>
      </c>
      <c r="F83" s="21" t="s">
        <v>7</v>
      </c>
      <c r="G83" s="46"/>
      <c r="H83" s="46"/>
      <c r="I83" s="263">
        <f>I88+I84</f>
        <v>3082</v>
      </c>
      <c r="J83" s="263">
        <f>J88+J84</f>
        <v>3073</v>
      </c>
      <c r="K83" s="263">
        <f t="shared" si="2"/>
        <v>99.70798182998053</v>
      </c>
    </row>
    <row r="84" spans="1:11" ht="19.5" customHeight="1">
      <c r="A84" s="204" t="s">
        <v>92</v>
      </c>
      <c r="B84" s="87">
        <v>503</v>
      </c>
      <c r="C84" s="49" t="s">
        <v>45</v>
      </c>
      <c r="D84" s="49" t="s">
        <v>10</v>
      </c>
      <c r="E84" s="51" t="s">
        <v>29</v>
      </c>
      <c r="F84" s="49" t="s">
        <v>7</v>
      </c>
      <c r="G84" s="47"/>
      <c r="H84" s="47"/>
      <c r="I84" s="270">
        <f aca="true" t="shared" si="3" ref="I84:J86">I85</f>
        <v>3073</v>
      </c>
      <c r="J84" s="270">
        <f t="shared" si="3"/>
        <v>3073</v>
      </c>
      <c r="K84" s="263">
        <f t="shared" si="2"/>
        <v>100</v>
      </c>
    </row>
    <row r="85" spans="1:11" ht="33.75" customHeight="1">
      <c r="A85" s="157" t="s">
        <v>175</v>
      </c>
      <c r="B85" s="87">
        <v>503</v>
      </c>
      <c r="C85" s="49" t="s">
        <v>45</v>
      </c>
      <c r="D85" s="49" t="s">
        <v>10</v>
      </c>
      <c r="E85" s="55" t="s">
        <v>254</v>
      </c>
      <c r="F85" s="52" t="s">
        <v>7</v>
      </c>
      <c r="G85" s="46"/>
      <c r="H85" s="46"/>
      <c r="I85" s="270">
        <f t="shared" si="3"/>
        <v>3073</v>
      </c>
      <c r="J85" s="270">
        <f t="shared" si="3"/>
        <v>3073</v>
      </c>
      <c r="K85" s="263">
        <f t="shared" si="2"/>
        <v>100</v>
      </c>
    </row>
    <row r="86" spans="1:11" ht="45" customHeight="1">
      <c r="A86" s="204" t="s">
        <v>322</v>
      </c>
      <c r="B86" s="87">
        <v>503</v>
      </c>
      <c r="C86" s="49" t="s">
        <v>45</v>
      </c>
      <c r="D86" s="49" t="s">
        <v>10</v>
      </c>
      <c r="E86" s="51" t="s">
        <v>278</v>
      </c>
      <c r="F86" s="49" t="s">
        <v>7</v>
      </c>
      <c r="G86" s="47"/>
      <c r="H86" s="47"/>
      <c r="I86" s="270">
        <f t="shared" si="3"/>
        <v>3073</v>
      </c>
      <c r="J86" s="270">
        <f t="shared" si="3"/>
        <v>3073</v>
      </c>
      <c r="K86" s="263">
        <f t="shared" si="2"/>
        <v>100</v>
      </c>
    </row>
    <row r="87" spans="1:11" ht="34.5" customHeight="1">
      <c r="A87" s="121" t="s">
        <v>142</v>
      </c>
      <c r="B87" s="87">
        <v>503</v>
      </c>
      <c r="C87" s="49" t="s">
        <v>45</v>
      </c>
      <c r="D87" s="49" t="s">
        <v>10</v>
      </c>
      <c r="E87" s="51" t="s">
        <v>278</v>
      </c>
      <c r="F87" s="49" t="s">
        <v>129</v>
      </c>
      <c r="G87" s="47"/>
      <c r="H87" s="47"/>
      <c r="I87" s="270">
        <v>3073</v>
      </c>
      <c r="J87" s="318">
        <v>3073</v>
      </c>
      <c r="K87" s="263">
        <f t="shared" si="2"/>
        <v>100</v>
      </c>
    </row>
    <row r="88" spans="1:11" ht="30" customHeight="1">
      <c r="A88" s="208" t="s">
        <v>222</v>
      </c>
      <c r="B88" s="104">
        <v>503</v>
      </c>
      <c r="C88" s="21" t="s">
        <v>45</v>
      </c>
      <c r="D88" s="21" t="s">
        <v>45</v>
      </c>
      <c r="E88" s="179" t="s">
        <v>29</v>
      </c>
      <c r="F88" s="21" t="s">
        <v>7</v>
      </c>
      <c r="G88" s="46"/>
      <c r="H88" s="46"/>
      <c r="I88" s="263">
        <f>I89</f>
        <v>9</v>
      </c>
      <c r="J88" s="263">
        <f>J89</f>
        <v>0</v>
      </c>
      <c r="K88" s="263">
        <f t="shared" si="2"/>
        <v>0</v>
      </c>
    </row>
    <row r="89" spans="1:11" ht="59.25" customHeight="1">
      <c r="A89" s="204" t="s">
        <v>223</v>
      </c>
      <c r="B89" s="87">
        <v>503</v>
      </c>
      <c r="C89" s="49" t="s">
        <v>45</v>
      </c>
      <c r="D89" s="49" t="s">
        <v>45</v>
      </c>
      <c r="E89" s="51" t="s">
        <v>224</v>
      </c>
      <c r="F89" s="49" t="s">
        <v>7</v>
      </c>
      <c r="G89" s="46"/>
      <c r="H89" s="46"/>
      <c r="I89" s="264">
        <f>I90</f>
        <v>9</v>
      </c>
      <c r="J89" s="264">
        <f>J90</f>
        <v>0</v>
      </c>
      <c r="K89" s="263">
        <f t="shared" si="2"/>
        <v>0</v>
      </c>
    </row>
    <row r="90" spans="1:11" ht="31.5" customHeight="1">
      <c r="A90" s="121" t="s">
        <v>142</v>
      </c>
      <c r="B90" s="87">
        <v>503</v>
      </c>
      <c r="C90" s="49" t="s">
        <v>45</v>
      </c>
      <c r="D90" s="49" t="s">
        <v>45</v>
      </c>
      <c r="E90" s="51" t="s">
        <v>224</v>
      </c>
      <c r="F90" s="51" t="s">
        <v>129</v>
      </c>
      <c r="G90" s="23"/>
      <c r="H90" s="23"/>
      <c r="I90" s="270">
        <v>9</v>
      </c>
      <c r="J90" s="322">
        <v>0</v>
      </c>
      <c r="K90" s="263">
        <f t="shared" si="2"/>
        <v>0</v>
      </c>
    </row>
    <row r="91" spans="1:11" ht="17.25" customHeight="1">
      <c r="A91" s="217" t="s">
        <v>12</v>
      </c>
      <c r="B91" s="102" t="s">
        <v>49</v>
      </c>
      <c r="C91" s="102" t="s">
        <v>11</v>
      </c>
      <c r="D91" s="102" t="s">
        <v>16</v>
      </c>
      <c r="E91" s="179" t="s">
        <v>29</v>
      </c>
      <c r="F91" s="180" t="s">
        <v>7</v>
      </c>
      <c r="G91" s="181"/>
      <c r="H91" s="181"/>
      <c r="I91" s="263">
        <f aca="true" t="shared" si="4" ref="I91:J93">I92</f>
        <v>50.4</v>
      </c>
      <c r="J91" s="263">
        <f t="shared" si="4"/>
        <v>50.4</v>
      </c>
      <c r="K91" s="263">
        <f t="shared" si="2"/>
        <v>100</v>
      </c>
    </row>
    <row r="92" spans="1:11" ht="21" customHeight="1">
      <c r="A92" s="157" t="s">
        <v>27</v>
      </c>
      <c r="B92" s="50" t="s">
        <v>49</v>
      </c>
      <c r="C92" s="50" t="s">
        <v>11</v>
      </c>
      <c r="D92" s="50" t="s">
        <v>11</v>
      </c>
      <c r="E92" s="51" t="s">
        <v>29</v>
      </c>
      <c r="F92" s="52" t="s">
        <v>7</v>
      </c>
      <c r="G92" s="23"/>
      <c r="H92" s="23"/>
      <c r="I92" s="264">
        <f t="shared" si="4"/>
        <v>50.4</v>
      </c>
      <c r="J92" s="264">
        <f t="shared" si="4"/>
        <v>50.4</v>
      </c>
      <c r="K92" s="263">
        <f t="shared" si="2"/>
        <v>100</v>
      </c>
    </row>
    <row r="93" spans="1:11" ht="31.5" customHeight="1">
      <c r="A93" s="204" t="s">
        <v>327</v>
      </c>
      <c r="B93" s="50" t="s">
        <v>49</v>
      </c>
      <c r="C93" s="50" t="s">
        <v>11</v>
      </c>
      <c r="D93" s="50" t="s">
        <v>11</v>
      </c>
      <c r="E93" s="51" t="s">
        <v>220</v>
      </c>
      <c r="F93" s="52" t="s">
        <v>7</v>
      </c>
      <c r="G93" s="23"/>
      <c r="H93" s="23"/>
      <c r="I93" s="264">
        <f t="shared" si="4"/>
        <v>50.4</v>
      </c>
      <c r="J93" s="264">
        <f t="shared" si="4"/>
        <v>50.4</v>
      </c>
      <c r="K93" s="263">
        <f t="shared" si="2"/>
        <v>100</v>
      </c>
    </row>
    <row r="94" spans="1:11" ht="30.75" customHeight="1">
      <c r="A94" s="121" t="s">
        <v>142</v>
      </c>
      <c r="B94" s="50" t="s">
        <v>49</v>
      </c>
      <c r="C94" s="50" t="s">
        <v>11</v>
      </c>
      <c r="D94" s="50" t="s">
        <v>11</v>
      </c>
      <c r="E94" s="51" t="s">
        <v>220</v>
      </c>
      <c r="F94" s="52" t="s">
        <v>129</v>
      </c>
      <c r="G94" s="23"/>
      <c r="H94" s="23"/>
      <c r="I94" s="264">
        <v>50.4</v>
      </c>
      <c r="J94" s="314">
        <v>50.4</v>
      </c>
      <c r="K94" s="263">
        <f t="shared" si="2"/>
        <v>100</v>
      </c>
    </row>
    <row r="95" spans="1:11" ht="15.75" customHeight="1">
      <c r="A95" s="216" t="s">
        <v>120</v>
      </c>
      <c r="B95" s="115" t="s">
        <v>49</v>
      </c>
      <c r="C95" s="67" t="s">
        <v>22</v>
      </c>
      <c r="D95" s="67" t="s">
        <v>16</v>
      </c>
      <c r="E95" s="67" t="s">
        <v>29</v>
      </c>
      <c r="F95" s="67" t="s">
        <v>7</v>
      </c>
      <c r="G95" s="23"/>
      <c r="H95" s="23"/>
      <c r="I95" s="263">
        <f aca="true" t="shared" si="5" ref="I95:J97">I96</f>
        <v>204.7</v>
      </c>
      <c r="J95" s="263">
        <f t="shared" si="5"/>
        <v>204.7</v>
      </c>
      <c r="K95" s="263">
        <f t="shared" si="2"/>
        <v>100</v>
      </c>
    </row>
    <row r="96" spans="1:11" ht="19.5" customHeight="1">
      <c r="A96" s="204" t="s">
        <v>122</v>
      </c>
      <c r="B96" s="50" t="s">
        <v>49</v>
      </c>
      <c r="C96" s="50" t="s">
        <v>22</v>
      </c>
      <c r="D96" s="50" t="s">
        <v>22</v>
      </c>
      <c r="E96" s="51" t="s">
        <v>29</v>
      </c>
      <c r="F96" s="52" t="s">
        <v>7</v>
      </c>
      <c r="G96" s="23"/>
      <c r="H96" s="23"/>
      <c r="I96" s="264">
        <f t="shared" si="5"/>
        <v>204.7</v>
      </c>
      <c r="J96" s="264">
        <f t="shared" si="5"/>
        <v>204.7</v>
      </c>
      <c r="K96" s="263">
        <f t="shared" si="2"/>
        <v>100</v>
      </c>
    </row>
    <row r="97" spans="1:11" ht="28.5" customHeight="1">
      <c r="A97" s="204" t="s">
        <v>152</v>
      </c>
      <c r="B97" s="50" t="s">
        <v>151</v>
      </c>
      <c r="C97" s="50" t="s">
        <v>22</v>
      </c>
      <c r="D97" s="50" t="s">
        <v>22</v>
      </c>
      <c r="E97" s="51" t="s">
        <v>253</v>
      </c>
      <c r="F97" s="52" t="s">
        <v>7</v>
      </c>
      <c r="G97" s="23"/>
      <c r="H97" s="23"/>
      <c r="I97" s="264">
        <f t="shared" si="5"/>
        <v>204.7</v>
      </c>
      <c r="J97" s="264">
        <f t="shared" si="5"/>
        <v>204.7</v>
      </c>
      <c r="K97" s="263">
        <f t="shared" si="2"/>
        <v>100</v>
      </c>
    </row>
    <row r="98" spans="1:11" ht="34.5" customHeight="1">
      <c r="A98" s="121" t="s">
        <v>142</v>
      </c>
      <c r="B98" s="50" t="s">
        <v>151</v>
      </c>
      <c r="C98" s="50" t="s">
        <v>22</v>
      </c>
      <c r="D98" s="50" t="s">
        <v>22</v>
      </c>
      <c r="E98" s="51" t="s">
        <v>253</v>
      </c>
      <c r="F98" s="52" t="s">
        <v>129</v>
      </c>
      <c r="G98" s="23"/>
      <c r="H98" s="23"/>
      <c r="I98" s="264">
        <f>200+4.7</f>
        <v>204.7</v>
      </c>
      <c r="J98" s="314">
        <v>204.7</v>
      </c>
      <c r="K98" s="263">
        <f t="shared" si="2"/>
        <v>100</v>
      </c>
    </row>
    <row r="99" spans="1:11" ht="18" customHeight="1">
      <c r="A99" s="215" t="s">
        <v>40</v>
      </c>
      <c r="B99" s="189" t="s">
        <v>49</v>
      </c>
      <c r="C99" s="190" t="s">
        <v>23</v>
      </c>
      <c r="D99" s="190" t="s">
        <v>16</v>
      </c>
      <c r="E99" s="190" t="s">
        <v>29</v>
      </c>
      <c r="F99" s="191" t="s">
        <v>7</v>
      </c>
      <c r="G99" s="192" t="e">
        <f>G100+G104</f>
        <v>#REF!</v>
      </c>
      <c r="H99" s="192" t="e">
        <f>H100+H104</f>
        <v>#REF!</v>
      </c>
      <c r="I99" s="263">
        <f>I100+I104</f>
        <v>9283.663</v>
      </c>
      <c r="J99" s="263">
        <f>J100+J104</f>
        <v>9207</v>
      </c>
      <c r="K99" s="263">
        <f t="shared" si="2"/>
        <v>99.1742160395094</v>
      </c>
    </row>
    <row r="100" spans="1:11" ht="19.5" customHeight="1">
      <c r="A100" s="215" t="s">
        <v>43</v>
      </c>
      <c r="B100" s="243" t="s">
        <v>49</v>
      </c>
      <c r="C100" s="244" t="s">
        <v>23</v>
      </c>
      <c r="D100" s="244" t="s">
        <v>8</v>
      </c>
      <c r="E100" s="244" t="s">
        <v>29</v>
      </c>
      <c r="F100" s="245" t="s">
        <v>7</v>
      </c>
      <c r="G100" s="54">
        <f aca="true" t="shared" si="6" ref="G100:J102">G101</f>
        <v>0</v>
      </c>
      <c r="H100" s="54">
        <f t="shared" si="6"/>
        <v>60</v>
      </c>
      <c r="I100" s="263">
        <f t="shared" si="6"/>
        <v>1509.2</v>
      </c>
      <c r="J100" s="263">
        <f t="shared" si="6"/>
        <v>1472.5</v>
      </c>
      <c r="K100" s="263">
        <f t="shared" si="2"/>
        <v>97.56824807845216</v>
      </c>
    </row>
    <row r="101" spans="1:11" ht="29.25" customHeight="1">
      <c r="A101" s="218" t="s">
        <v>73</v>
      </c>
      <c r="B101" s="110" t="s">
        <v>49</v>
      </c>
      <c r="C101" s="55" t="s">
        <v>23</v>
      </c>
      <c r="D101" s="55" t="s">
        <v>8</v>
      </c>
      <c r="E101" s="55" t="s">
        <v>74</v>
      </c>
      <c r="F101" s="52" t="s">
        <v>7</v>
      </c>
      <c r="G101" s="56">
        <f t="shared" si="6"/>
        <v>0</v>
      </c>
      <c r="H101" s="56">
        <f t="shared" si="6"/>
        <v>60</v>
      </c>
      <c r="I101" s="264">
        <f t="shared" si="6"/>
        <v>1509.2</v>
      </c>
      <c r="J101" s="264">
        <f t="shared" si="6"/>
        <v>1472.5</v>
      </c>
      <c r="K101" s="263">
        <f t="shared" si="2"/>
        <v>97.56824807845216</v>
      </c>
    </row>
    <row r="102" spans="1:11" ht="26.25" customHeight="1">
      <c r="A102" s="218" t="s">
        <v>75</v>
      </c>
      <c r="B102" s="110" t="s">
        <v>49</v>
      </c>
      <c r="C102" s="55" t="s">
        <v>23</v>
      </c>
      <c r="D102" s="55" t="s">
        <v>8</v>
      </c>
      <c r="E102" s="55" t="s">
        <v>76</v>
      </c>
      <c r="F102" s="52" t="s">
        <v>7</v>
      </c>
      <c r="G102" s="56">
        <f t="shared" si="6"/>
        <v>0</v>
      </c>
      <c r="H102" s="56">
        <f t="shared" si="6"/>
        <v>60</v>
      </c>
      <c r="I102" s="264">
        <f t="shared" si="6"/>
        <v>1509.2</v>
      </c>
      <c r="J102" s="264">
        <f t="shared" si="6"/>
        <v>1472.5</v>
      </c>
      <c r="K102" s="263">
        <f t="shared" si="2"/>
        <v>97.56824807845216</v>
      </c>
    </row>
    <row r="103" spans="1:11" ht="20.25" customHeight="1">
      <c r="A103" s="212" t="s">
        <v>140</v>
      </c>
      <c r="B103" s="110" t="s">
        <v>49</v>
      </c>
      <c r="C103" s="55" t="s">
        <v>23</v>
      </c>
      <c r="D103" s="55" t="s">
        <v>8</v>
      </c>
      <c r="E103" s="55" t="s">
        <v>76</v>
      </c>
      <c r="F103" s="52" t="s">
        <v>139</v>
      </c>
      <c r="G103" s="56"/>
      <c r="H103" s="56">
        <v>60</v>
      </c>
      <c r="I103" s="264">
        <f>1307.2+202</f>
        <v>1509.2</v>
      </c>
      <c r="J103" s="321">
        <v>1472.5</v>
      </c>
      <c r="K103" s="263">
        <f t="shared" si="2"/>
        <v>97.56824807845216</v>
      </c>
    </row>
    <row r="104" spans="1:11" ht="18.75" customHeight="1">
      <c r="A104" s="215" t="s">
        <v>41</v>
      </c>
      <c r="B104" s="243" t="s">
        <v>49</v>
      </c>
      <c r="C104" s="244" t="s">
        <v>23</v>
      </c>
      <c r="D104" s="244" t="s">
        <v>24</v>
      </c>
      <c r="E104" s="244" t="s">
        <v>29</v>
      </c>
      <c r="F104" s="245" t="s">
        <v>7</v>
      </c>
      <c r="G104" s="57" t="e">
        <f>G112</f>
        <v>#REF!</v>
      </c>
      <c r="H104" s="57" t="e">
        <f>H112</f>
        <v>#REF!</v>
      </c>
      <c r="I104" s="263">
        <f>I112+I116+I107+I105</f>
        <v>7774.463000000001</v>
      </c>
      <c r="J104" s="263">
        <f>J112+J116+J107+J105</f>
        <v>7734.5</v>
      </c>
      <c r="K104" s="263">
        <f t="shared" si="2"/>
        <v>99.48597092815284</v>
      </c>
    </row>
    <row r="105" spans="1:11" ht="21.75" customHeight="1">
      <c r="A105" s="212" t="s">
        <v>86</v>
      </c>
      <c r="B105" s="110" t="s">
        <v>49</v>
      </c>
      <c r="C105" s="55" t="s">
        <v>23</v>
      </c>
      <c r="D105" s="55" t="s">
        <v>24</v>
      </c>
      <c r="E105" s="55" t="s">
        <v>103</v>
      </c>
      <c r="F105" s="52" t="s">
        <v>7</v>
      </c>
      <c r="G105" s="56"/>
      <c r="H105" s="56"/>
      <c r="I105" s="264">
        <f>I106</f>
        <v>40</v>
      </c>
      <c r="J105" s="264">
        <f>J106</f>
        <v>40</v>
      </c>
      <c r="K105" s="263">
        <f t="shared" si="2"/>
        <v>100</v>
      </c>
    </row>
    <row r="106" spans="1:11" ht="19.5" customHeight="1">
      <c r="A106" s="212" t="s">
        <v>146</v>
      </c>
      <c r="B106" s="110" t="s">
        <v>49</v>
      </c>
      <c r="C106" s="55" t="s">
        <v>23</v>
      </c>
      <c r="D106" s="55" t="s">
        <v>24</v>
      </c>
      <c r="E106" s="55" t="s">
        <v>103</v>
      </c>
      <c r="F106" s="52" t="s">
        <v>134</v>
      </c>
      <c r="G106" s="56"/>
      <c r="H106" s="56"/>
      <c r="I106" s="264">
        <f>30+5+5</f>
        <v>40</v>
      </c>
      <c r="J106" s="321">
        <v>40</v>
      </c>
      <c r="K106" s="263">
        <f t="shared" si="2"/>
        <v>100</v>
      </c>
    </row>
    <row r="107" spans="1:11" ht="34.5" customHeight="1">
      <c r="A107" s="157" t="s">
        <v>175</v>
      </c>
      <c r="B107" s="110" t="s">
        <v>49</v>
      </c>
      <c r="C107" s="55" t="s">
        <v>23</v>
      </c>
      <c r="D107" s="55" t="s">
        <v>24</v>
      </c>
      <c r="E107" s="55" t="s">
        <v>254</v>
      </c>
      <c r="F107" s="52" t="s">
        <v>7</v>
      </c>
      <c r="G107" s="57"/>
      <c r="H107" s="57"/>
      <c r="I107" s="263">
        <f>I109+I111</f>
        <v>4671.465</v>
      </c>
      <c r="J107" s="263">
        <f>J109+J111</f>
        <v>4671.4</v>
      </c>
      <c r="K107" s="263">
        <f t="shared" si="2"/>
        <v>99.99860857354169</v>
      </c>
    </row>
    <row r="108" spans="1:11" ht="57.75" customHeight="1">
      <c r="A108" s="204" t="s">
        <v>174</v>
      </c>
      <c r="B108" s="145">
        <v>503</v>
      </c>
      <c r="C108" s="146" t="s">
        <v>23</v>
      </c>
      <c r="D108" s="146" t="s">
        <v>24</v>
      </c>
      <c r="E108" s="146" t="s">
        <v>255</v>
      </c>
      <c r="F108" s="146" t="s">
        <v>7</v>
      </c>
      <c r="G108" s="57"/>
      <c r="H108" s="57"/>
      <c r="I108" s="270">
        <f>I109</f>
        <v>1148.523</v>
      </c>
      <c r="J108" s="270">
        <f>J109</f>
        <v>1148.5</v>
      </c>
      <c r="K108" s="263">
        <f t="shared" si="2"/>
        <v>99.99799742800101</v>
      </c>
    </row>
    <row r="109" spans="1:11" ht="42" customHeight="1">
      <c r="A109" s="230" t="s">
        <v>226</v>
      </c>
      <c r="B109" s="250">
        <v>503</v>
      </c>
      <c r="C109" s="251" t="s">
        <v>23</v>
      </c>
      <c r="D109" s="251" t="s">
        <v>24</v>
      </c>
      <c r="E109" s="251" t="s">
        <v>255</v>
      </c>
      <c r="F109" s="252" t="s">
        <v>225</v>
      </c>
      <c r="G109" s="57"/>
      <c r="H109" s="57"/>
      <c r="I109" s="270">
        <v>1148.523</v>
      </c>
      <c r="J109" s="374">
        <v>1148.5</v>
      </c>
      <c r="K109" s="263">
        <f t="shared" si="2"/>
        <v>99.99799742800101</v>
      </c>
    </row>
    <row r="110" spans="1:11" ht="56.25" customHeight="1">
      <c r="A110" s="204" t="s">
        <v>277</v>
      </c>
      <c r="B110" s="147">
        <v>503</v>
      </c>
      <c r="C110" s="146" t="s">
        <v>23</v>
      </c>
      <c r="D110" s="146" t="s">
        <v>24</v>
      </c>
      <c r="E110" s="146" t="s">
        <v>278</v>
      </c>
      <c r="F110" s="252" t="s">
        <v>7</v>
      </c>
      <c r="G110" s="57"/>
      <c r="H110" s="57"/>
      <c r="I110" s="270">
        <f>I111</f>
        <v>3522.9420000000005</v>
      </c>
      <c r="J110" s="270">
        <f>J111</f>
        <v>3522.9</v>
      </c>
      <c r="K110" s="263">
        <f t="shared" si="2"/>
        <v>99.99880781460494</v>
      </c>
    </row>
    <row r="111" spans="1:11" ht="41.25" customHeight="1">
      <c r="A111" s="230" t="s">
        <v>226</v>
      </c>
      <c r="B111" s="147">
        <v>503</v>
      </c>
      <c r="C111" s="146" t="s">
        <v>23</v>
      </c>
      <c r="D111" s="146" t="s">
        <v>24</v>
      </c>
      <c r="E111" s="146" t="s">
        <v>278</v>
      </c>
      <c r="F111" s="148" t="s">
        <v>225</v>
      </c>
      <c r="G111" s="57"/>
      <c r="H111" s="57"/>
      <c r="I111" s="270">
        <f>118+1705.673+1563.408+27.9+129.73-21.769</f>
        <v>3522.9420000000005</v>
      </c>
      <c r="J111" s="374">
        <v>3522.9</v>
      </c>
      <c r="K111" s="263">
        <f t="shared" si="2"/>
        <v>99.99880781460494</v>
      </c>
    </row>
    <row r="112" spans="1:11" ht="19.5" customHeight="1">
      <c r="A112" s="229" t="s">
        <v>83</v>
      </c>
      <c r="B112" s="110" t="s">
        <v>49</v>
      </c>
      <c r="C112" s="55" t="s">
        <v>23</v>
      </c>
      <c r="D112" s="55" t="s">
        <v>24</v>
      </c>
      <c r="E112" s="55" t="s">
        <v>198</v>
      </c>
      <c r="F112" s="52" t="s">
        <v>7</v>
      </c>
      <c r="G112" s="56" t="e">
        <f>G113</f>
        <v>#REF!</v>
      </c>
      <c r="H112" s="56" t="e">
        <f>H113</f>
        <v>#REF!</v>
      </c>
      <c r="I112" s="270">
        <f>I113</f>
        <v>382.79999999999995</v>
      </c>
      <c r="J112" s="270">
        <f>J113</f>
        <v>364.8</v>
      </c>
      <c r="K112" s="263">
        <f t="shared" si="2"/>
        <v>95.29780564263324</v>
      </c>
    </row>
    <row r="113" spans="1:11" ht="26.25" customHeight="1">
      <c r="A113" s="218" t="s">
        <v>25</v>
      </c>
      <c r="B113" s="110" t="s">
        <v>49</v>
      </c>
      <c r="C113" s="55" t="s">
        <v>23</v>
      </c>
      <c r="D113" s="55" t="s">
        <v>24</v>
      </c>
      <c r="E113" s="55" t="s">
        <v>256</v>
      </c>
      <c r="F113" s="52" t="s">
        <v>7</v>
      </c>
      <c r="G113" s="56" t="e">
        <f>#REF!+#REF!</f>
        <v>#REF!</v>
      </c>
      <c r="H113" s="56" t="e">
        <f>#REF!</f>
        <v>#REF!</v>
      </c>
      <c r="I113" s="270">
        <f>I114+I115</f>
        <v>382.79999999999995</v>
      </c>
      <c r="J113" s="270">
        <f>J114+J115</f>
        <v>364.8</v>
      </c>
      <c r="K113" s="263">
        <f t="shared" si="2"/>
        <v>95.29780564263324</v>
      </c>
    </row>
    <row r="114" spans="1:11" ht="34.5" customHeight="1">
      <c r="A114" s="121" t="s">
        <v>142</v>
      </c>
      <c r="B114" s="110" t="s">
        <v>49</v>
      </c>
      <c r="C114" s="55" t="s">
        <v>23</v>
      </c>
      <c r="D114" s="55" t="s">
        <v>24</v>
      </c>
      <c r="E114" s="55" t="s">
        <v>256</v>
      </c>
      <c r="F114" s="51" t="s">
        <v>129</v>
      </c>
      <c r="G114" s="56"/>
      <c r="H114" s="56"/>
      <c r="I114" s="270">
        <f>80-30</f>
        <v>50</v>
      </c>
      <c r="J114" s="321">
        <v>47.5</v>
      </c>
      <c r="K114" s="263">
        <f t="shared" si="2"/>
        <v>95</v>
      </c>
    </row>
    <row r="115" spans="1:11" ht="34.5" customHeight="1">
      <c r="A115" s="204" t="s">
        <v>273</v>
      </c>
      <c r="B115" s="110" t="s">
        <v>49</v>
      </c>
      <c r="C115" s="55" t="s">
        <v>23</v>
      </c>
      <c r="D115" s="55" t="s">
        <v>24</v>
      </c>
      <c r="E115" s="55" t="s">
        <v>256</v>
      </c>
      <c r="F115" s="51" t="s">
        <v>274</v>
      </c>
      <c r="G115" s="56"/>
      <c r="H115" s="56"/>
      <c r="I115" s="270">
        <f>460-40-79.1-8.1</f>
        <v>332.79999999999995</v>
      </c>
      <c r="J115" s="321">
        <v>317.3</v>
      </c>
      <c r="K115" s="263">
        <f t="shared" si="2"/>
        <v>95.3425480769231</v>
      </c>
    </row>
    <row r="116" spans="1:11" ht="18.75" customHeight="1">
      <c r="A116" s="208" t="s">
        <v>153</v>
      </c>
      <c r="B116" s="246" t="s">
        <v>49</v>
      </c>
      <c r="C116" s="247" t="s">
        <v>23</v>
      </c>
      <c r="D116" s="247" t="s">
        <v>24</v>
      </c>
      <c r="E116" s="247" t="s">
        <v>257</v>
      </c>
      <c r="F116" s="180" t="s">
        <v>7</v>
      </c>
      <c r="G116" s="248"/>
      <c r="H116" s="248"/>
      <c r="I116" s="263">
        <f>I117</f>
        <v>2680.1980000000003</v>
      </c>
      <c r="J116" s="263">
        <f>J117</f>
        <v>2658.3</v>
      </c>
      <c r="K116" s="263">
        <f t="shared" si="2"/>
        <v>99.1829708103655</v>
      </c>
    </row>
    <row r="117" spans="1:11" ht="45" customHeight="1">
      <c r="A117" s="218" t="s">
        <v>143</v>
      </c>
      <c r="B117" s="110" t="s">
        <v>49</v>
      </c>
      <c r="C117" s="55" t="s">
        <v>23</v>
      </c>
      <c r="D117" s="55" t="s">
        <v>24</v>
      </c>
      <c r="E117" s="55" t="s">
        <v>267</v>
      </c>
      <c r="F117" s="52" t="s">
        <v>7</v>
      </c>
      <c r="G117" s="56"/>
      <c r="H117" s="56"/>
      <c r="I117" s="270">
        <f>I119+I122</f>
        <v>2680.1980000000003</v>
      </c>
      <c r="J117" s="270">
        <f>J119+J122</f>
        <v>2658.3</v>
      </c>
      <c r="K117" s="263">
        <f t="shared" si="2"/>
        <v>99.1829708103655</v>
      </c>
    </row>
    <row r="118" spans="1:11" ht="57.75" customHeight="1">
      <c r="A118" s="16" t="s">
        <v>268</v>
      </c>
      <c r="B118" s="110" t="s">
        <v>49</v>
      </c>
      <c r="C118" s="55" t="s">
        <v>23</v>
      </c>
      <c r="D118" s="55" t="s">
        <v>24</v>
      </c>
      <c r="E118" s="55" t="s">
        <v>227</v>
      </c>
      <c r="F118" s="52" t="s">
        <v>7</v>
      </c>
      <c r="G118" s="56"/>
      <c r="H118" s="56"/>
      <c r="I118" s="270">
        <f>I119</f>
        <v>1076.545</v>
      </c>
      <c r="J118" s="270">
        <f>J119</f>
        <v>1054.6</v>
      </c>
      <c r="K118" s="263">
        <f t="shared" si="2"/>
        <v>97.96153435295318</v>
      </c>
    </row>
    <row r="119" spans="1:11" ht="45" customHeight="1">
      <c r="A119" s="204" t="s">
        <v>226</v>
      </c>
      <c r="B119" s="110" t="s">
        <v>49</v>
      </c>
      <c r="C119" s="55" t="s">
        <v>23</v>
      </c>
      <c r="D119" s="55" t="s">
        <v>24</v>
      </c>
      <c r="E119" s="55" t="s">
        <v>227</v>
      </c>
      <c r="F119" s="52" t="s">
        <v>225</v>
      </c>
      <c r="G119" s="56"/>
      <c r="H119" s="56"/>
      <c r="I119" s="270">
        <f>1830+80-973.578+40.3+99.823</f>
        <v>1076.545</v>
      </c>
      <c r="J119" s="321">
        <v>1054.6</v>
      </c>
      <c r="K119" s="263">
        <f t="shared" si="2"/>
        <v>97.96153435295318</v>
      </c>
    </row>
    <row r="120" spans="1:11" ht="58.5" customHeight="1">
      <c r="A120" s="16" t="s">
        <v>241</v>
      </c>
      <c r="B120" s="110" t="s">
        <v>49</v>
      </c>
      <c r="C120" s="55" t="s">
        <v>23</v>
      </c>
      <c r="D120" s="55" t="s">
        <v>24</v>
      </c>
      <c r="E120" s="55" t="s">
        <v>227</v>
      </c>
      <c r="F120" s="52" t="s">
        <v>225</v>
      </c>
      <c r="G120" s="56"/>
      <c r="H120" s="56"/>
      <c r="I120" s="270">
        <f>80-27.7</f>
        <v>52.3</v>
      </c>
      <c r="J120" s="321">
        <v>52.3</v>
      </c>
      <c r="K120" s="263">
        <f t="shared" si="2"/>
        <v>100</v>
      </c>
    </row>
    <row r="121" spans="1:11" ht="60.75" customHeight="1">
      <c r="A121" s="139" t="s">
        <v>174</v>
      </c>
      <c r="B121" s="193" t="s">
        <v>49</v>
      </c>
      <c r="C121" s="169" t="s">
        <v>23</v>
      </c>
      <c r="D121" s="169" t="s">
        <v>24</v>
      </c>
      <c r="E121" s="169" t="s">
        <v>242</v>
      </c>
      <c r="F121" s="194" t="s">
        <v>7</v>
      </c>
      <c r="G121" s="195"/>
      <c r="H121" s="195"/>
      <c r="I121" s="270">
        <f>I122</f>
        <v>1603.653</v>
      </c>
      <c r="J121" s="375">
        <v>1603.7</v>
      </c>
      <c r="K121" s="263">
        <f t="shared" si="2"/>
        <v>100.00293080859761</v>
      </c>
    </row>
    <row r="122" spans="1:11" ht="42" customHeight="1">
      <c r="A122" s="230" t="s">
        <v>265</v>
      </c>
      <c r="B122" s="193" t="s">
        <v>49</v>
      </c>
      <c r="C122" s="169" t="s">
        <v>23</v>
      </c>
      <c r="D122" s="169" t="s">
        <v>24</v>
      </c>
      <c r="E122" s="169" t="s">
        <v>242</v>
      </c>
      <c r="F122" s="194" t="s">
        <v>225</v>
      </c>
      <c r="G122" s="195"/>
      <c r="H122" s="195"/>
      <c r="I122" s="270">
        <f>1567.411+147.1-85.558-25.3</f>
        <v>1603.653</v>
      </c>
      <c r="J122" s="375">
        <v>1603.7</v>
      </c>
      <c r="K122" s="263">
        <f t="shared" si="2"/>
        <v>100.00293080859761</v>
      </c>
    </row>
    <row r="123" spans="1:11" ht="74.25" customHeight="1">
      <c r="A123" s="139" t="s">
        <v>295</v>
      </c>
      <c r="B123" s="193" t="s">
        <v>49</v>
      </c>
      <c r="C123" s="169" t="s">
        <v>23</v>
      </c>
      <c r="D123" s="169" t="s">
        <v>24</v>
      </c>
      <c r="E123" s="169" t="s">
        <v>242</v>
      </c>
      <c r="F123" s="194" t="s">
        <v>225</v>
      </c>
      <c r="G123" s="195"/>
      <c r="H123" s="195"/>
      <c r="I123" s="270">
        <f>27.7-25.2</f>
        <v>2.5</v>
      </c>
      <c r="J123" s="375">
        <v>2.5</v>
      </c>
      <c r="K123" s="263">
        <f t="shared" si="2"/>
        <v>100</v>
      </c>
    </row>
    <row r="124" spans="1:11" ht="18" customHeight="1">
      <c r="A124" s="231" t="s">
        <v>118</v>
      </c>
      <c r="B124" s="109" t="s">
        <v>49</v>
      </c>
      <c r="C124" s="90" t="s">
        <v>54</v>
      </c>
      <c r="D124" s="90" t="s">
        <v>16</v>
      </c>
      <c r="E124" s="90" t="s">
        <v>29</v>
      </c>
      <c r="F124" s="93" t="s">
        <v>7</v>
      </c>
      <c r="G124" s="56"/>
      <c r="H124" s="56"/>
      <c r="I124" s="263">
        <f aca="true" t="shared" si="7" ref="I124:J126">I125</f>
        <v>130</v>
      </c>
      <c r="J124" s="263">
        <f t="shared" si="7"/>
        <v>121.8</v>
      </c>
      <c r="K124" s="263">
        <f t="shared" si="2"/>
        <v>93.69230769230768</v>
      </c>
    </row>
    <row r="125" spans="1:11" ht="24" customHeight="1">
      <c r="A125" s="208" t="s">
        <v>99</v>
      </c>
      <c r="B125" s="50" t="s">
        <v>49</v>
      </c>
      <c r="C125" s="85" t="s">
        <v>54</v>
      </c>
      <c r="D125" s="49" t="s">
        <v>10</v>
      </c>
      <c r="E125" s="49" t="s">
        <v>29</v>
      </c>
      <c r="F125" s="51" t="s">
        <v>7</v>
      </c>
      <c r="G125" s="56"/>
      <c r="H125" s="56"/>
      <c r="I125" s="264">
        <f t="shared" si="7"/>
        <v>130</v>
      </c>
      <c r="J125" s="264">
        <f t="shared" si="7"/>
        <v>121.8</v>
      </c>
      <c r="K125" s="263">
        <f t="shared" si="2"/>
        <v>93.69230769230768</v>
      </c>
    </row>
    <row r="126" spans="1:11" ht="41.25" customHeight="1">
      <c r="A126" s="204" t="s">
        <v>100</v>
      </c>
      <c r="B126" s="50" t="s">
        <v>49</v>
      </c>
      <c r="C126" s="85" t="s">
        <v>54</v>
      </c>
      <c r="D126" s="49" t="s">
        <v>10</v>
      </c>
      <c r="E126" s="49" t="s">
        <v>258</v>
      </c>
      <c r="F126" s="51" t="s">
        <v>7</v>
      </c>
      <c r="G126" s="56"/>
      <c r="H126" s="56"/>
      <c r="I126" s="264">
        <f t="shared" si="7"/>
        <v>130</v>
      </c>
      <c r="J126" s="264">
        <f t="shared" si="7"/>
        <v>121.8</v>
      </c>
      <c r="K126" s="263">
        <f t="shared" si="2"/>
        <v>93.69230769230768</v>
      </c>
    </row>
    <row r="127" spans="1:11" ht="32.25" customHeight="1">
      <c r="A127" s="121" t="s">
        <v>142</v>
      </c>
      <c r="B127" s="50" t="s">
        <v>49</v>
      </c>
      <c r="C127" s="85" t="s">
        <v>54</v>
      </c>
      <c r="D127" s="49" t="s">
        <v>10</v>
      </c>
      <c r="E127" s="49" t="s">
        <v>258</v>
      </c>
      <c r="F127" s="51" t="s">
        <v>129</v>
      </c>
      <c r="G127" s="56"/>
      <c r="H127" s="56"/>
      <c r="I127" s="264">
        <f>100-10+40</f>
        <v>130</v>
      </c>
      <c r="J127" s="321">
        <v>121.8</v>
      </c>
      <c r="K127" s="263">
        <f t="shared" si="2"/>
        <v>93.69230769230768</v>
      </c>
    </row>
    <row r="128" spans="1:11" ht="45.75" customHeight="1">
      <c r="A128" s="205" t="s">
        <v>123</v>
      </c>
      <c r="B128" s="133" t="s">
        <v>91</v>
      </c>
      <c r="C128" s="134" t="s">
        <v>16</v>
      </c>
      <c r="D128" s="134" t="s">
        <v>16</v>
      </c>
      <c r="E128" s="134" t="s">
        <v>29</v>
      </c>
      <c r="F128" s="134" t="s">
        <v>7</v>
      </c>
      <c r="G128" s="135" t="e">
        <f>G129+G160+#REF!</f>
        <v>#REF!</v>
      </c>
      <c r="H128" s="135" t="e">
        <f>H129+H160+#REF!</f>
        <v>#REF!</v>
      </c>
      <c r="I128" s="263">
        <f>I129+I139+I150+I160+I136+I144+I156</f>
        <v>35321.63</v>
      </c>
      <c r="J128" s="263">
        <f>J129+J139+J150+J160+J136+J144+J156</f>
        <v>34025.8</v>
      </c>
      <c r="K128" s="263">
        <f t="shared" si="2"/>
        <v>96.33134144715294</v>
      </c>
    </row>
    <row r="129" spans="1:11" ht="56.25" customHeight="1">
      <c r="A129" s="219" t="s">
        <v>104</v>
      </c>
      <c r="B129" s="105" t="s">
        <v>91</v>
      </c>
      <c r="C129" s="29" t="s">
        <v>8</v>
      </c>
      <c r="D129" s="29" t="s">
        <v>9</v>
      </c>
      <c r="E129" s="29" t="s">
        <v>29</v>
      </c>
      <c r="F129" s="29" t="s">
        <v>7</v>
      </c>
      <c r="G129" s="46" t="e">
        <f aca="true" t="shared" si="8" ref="G129:J130">G130</f>
        <v>#REF!</v>
      </c>
      <c r="H129" s="46" t="e">
        <f t="shared" si="8"/>
        <v>#REF!</v>
      </c>
      <c r="I129" s="263">
        <f t="shared" si="8"/>
        <v>2550.6000000000004</v>
      </c>
      <c r="J129" s="263">
        <f t="shared" si="8"/>
        <v>2543.2999999999997</v>
      </c>
      <c r="K129" s="263">
        <f t="shared" si="2"/>
        <v>99.71379283305886</v>
      </c>
    </row>
    <row r="130" spans="1:11" ht="75" customHeight="1">
      <c r="A130" s="220" t="s">
        <v>59</v>
      </c>
      <c r="B130" s="99">
        <v>528</v>
      </c>
      <c r="C130" s="12" t="s">
        <v>8</v>
      </c>
      <c r="D130" s="12" t="s">
        <v>9</v>
      </c>
      <c r="E130" s="100" t="s">
        <v>65</v>
      </c>
      <c r="F130" s="12" t="s">
        <v>7</v>
      </c>
      <c r="G130" s="45" t="e">
        <f t="shared" si="8"/>
        <v>#REF!</v>
      </c>
      <c r="H130" s="45" t="e">
        <f t="shared" si="8"/>
        <v>#REF!</v>
      </c>
      <c r="I130" s="265">
        <f t="shared" si="8"/>
        <v>2550.6000000000004</v>
      </c>
      <c r="J130" s="265">
        <f t="shared" si="8"/>
        <v>2543.2999999999997</v>
      </c>
      <c r="K130" s="263">
        <f t="shared" si="2"/>
        <v>99.71379283305886</v>
      </c>
    </row>
    <row r="131" spans="1:11" ht="19.5" customHeight="1">
      <c r="A131" s="220" t="s">
        <v>18</v>
      </c>
      <c r="B131" s="99">
        <v>528</v>
      </c>
      <c r="C131" s="12" t="s">
        <v>8</v>
      </c>
      <c r="D131" s="12" t="s">
        <v>9</v>
      </c>
      <c r="E131" s="100" t="s">
        <v>66</v>
      </c>
      <c r="F131" s="12" t="s">
        <v>7</v>
      </c>
      <c r="G131" s="45" t="e">
        <f>#REF!</f>
        <v>#REF!</v>
      </c>
      <c r="H131" s="45" t="e">
        <f>#REF!</f>
        <v>#REF!</v>
      </c>
      <c r="I131" s="265">
        <f>I132+I133+I134+I135</f>
        <v>2550.6000000000004</v>
      </c>
      <c r="J131" s="265">
        <f>J132+J133+J134+J135</f>
        <v>2543.2999999999997</v>
      </c>
      <c r="K131" s="263">
        <f t="shared" si="2"/>
        <v>99.71379283305886</v>
      </c>
    </row>
    <row r="132" spans="1:11" ht="22.5" customHeight="1">
      <c r="A132" s="212" t="s">
        <v>133</v>
      </c>
      <c r="B132" s="99">
        <v>528</v>
      </c>
      <c r="C132" s="12" t="s">
        <v>8</v>
      </c>
      <c r="D132" s="12" t="s">
        <v>9</v>
      </c>
      <c r="E132" s="100" t="s">
        <v>66</v>
      </c>
      <c r="F132" s="100" t="s">
        <v>127</v>
      </c>
      <c r="G132" s="45"/>
      <c r="H132" s="45"/>
      <c r="I132" s="265">
        <f>2225.3-1</f>
        <v>2224.3</v>
      </c>
      <c r="J132" s="314">
        <v>2220.1</v>
      </c>
      <c r="K132" s="263">
        <f t="shared" si="2"/>
        <v>99.8111765499258</v>
      </c>
    </row>
    <row r="133" spans="1:11" ht="28.5" customHeight="1">
      <c r="A133" s="228" t="s">
        <v>142</v>
      </c>
      <c r="B133" s="196">
        <v>528</v>
      </c>
      <c r="C133" s="201" t="s">
        <v>8</v>
      </c>
      <c r="D133" s="201" t="s">
        <v>9</v>
      </c>
      <c r="E133" s="137" t="s">
        <v>66</v>
      </c>
      <c r="F133" s="137" t="s">
        <v>129</v>
      </c>
      <c r="G133" s="197"/>
      <c r="H133" s="197"/>
      <c r="I133" s="270">
        <f>253.3+1</f>
        <v>254.3</v>
      </c>
      <c r="J133" s="322">
        <v>252.1</v>
      </c>
      <c r="K133" s="263">
        <f t="shared" si="2"/>
        <v>99.1348800629178</v>
      </c>
    </row>
    <row r="134" spans="1:11" ht="43.5" customHeight="1">
      <c r="A134" s="121" t="s">
        <v>279</v>
      </c>
      <c r="B134" s="99">
        <v>528</v>
      </c>
      <c r="C134" s="12" t="s">
        <v>8</v>
      </c>
      <c r="D134" s="12" t="s">
        <v>9</v>
      </c>
      <c r="E134" s="100" t="s">
        <v>66</v>
      </c>
      <c r="F134" s="100" t="s">
        <v>225</v>
      </c>
      <c r="G134" s="47"/>
      <c r="H134" s="47"/>
      <c r="I134" s="264">
        <f>78-8</f>
        <v>70</v>
      </c>
      <c r="J134" s="318">
        <v>69.6</v>
      </c>
      <c r="K134" s="263">
        <f t="shared" si="2"/>
        <v>99.42857142857142</v>
      </c>
    </row>
    <row r="135" spans="1:11" ht="30" customHeight="1">
      <c r="A135" s="212" t="s">
        <v>131</v>
      </c>
      <c r="B135" s="37">
        <v>528</v>
      </c>
      <c r="C135" s="49" t="s">
        <v>8</v>
      </c>
      <c r="D135" s="49" t="s">
        <v>9</v>
      </c>
      <c r="E135" s="49" t="s">
        <v>66</v>
      </c>
      <c r="F135" s="49" t="s">
        <v>130</v>
      </c>
      <c r="G135" s="47"/>
      <c r="H135" s="47"/>
      <c r="I135" s="264">
        <f>6-4</f>
        <v>2</v>
      </c>
      <c r="J135" s="318">
        <v>1.5</v>
      </c>
      <c r="K135" s="263">
        <f t="shared" si="2"/>
        <v>75</v>
      </c>
    </row>
    <row r="136" spans="1:11" ht="21.75" customHeight="1">
      <c r="A136" s="6" t="s">
        <v>19</v>
      </c>
      <c r="B136" s="38">
        <v>528</v>
      </c>
      <c r="C136" s="21" t="s">
        <v>8</v>
      </c>
      <c r="D136" s="21" t="s">
        <v>116</v>
      </c>
      <c r="E136" s="21" t="s">
        <v>29</v>
      </c>
      <c r="F136" s="21" t="s">
        <v>7</v>
      </c>
      <c r="G136" s="46"/>
      <c r="H136" s="46"/>
      <c r="I136" s="263">
        <f>I137</f>
        <v>816</v>
      </c>
      <c r="J136" s="263">
        <f>J137</f>
        <v>530</v>
      </c>
      <c r="K136" s="263">
        <f t="shared" si="2"/>
        <v>64.95098039215686</v>
      </c>
    </row>
    <row r="137" spans="1:16" ht="42.75" customHeight="1">
      <c r="A137" s="221" t="s">
        <v>329</v>
      </c>
      <c r="B137" s="196">
        <v>528</v>
      </c>
      <c r="C137" s="140" t="s">
        <v>8</v>
      </c>
      <c r="D137" s="140" t="s">
        <v>116</v>
      </c>
      <c r="E137" s="140" t="s">
        <v>220</v>
      </c>
      <c r="F137" s="140" t="s">
        <v>7</v>
      </c>
      <c r="G137" s="197"/>
      <c r="H137" s="197"/>
      <c r="I137" s="270">
        <f>I138</f>
        <v>816</v>
      </c>
      <c r="J137" s="270">
        <f>J138</f>
        <v>530</v>
      </c>
      <c r="K137" s="263">
        <f t="shared" si="2"/>
        <v>64.95098039215686</v>
      </c>
      <c r="N137" s="395"/>
      <c r="O137" s="395"/>
      <c r="P137" s="395"/>
    </row>
    <row r="138" spans="1:11" ht="28.5" customHeight="1">
      <c r="A138" s="121" t="s">
        <v>142</v>
      </c>
      <c r="B138" s="37">
        <v>528</v>
      </c>
      <c r="C138" s="49" t="s">
        <v>8</v>
      </c>
      <c r="D138" s="49" t="s">
        <v>116</v>
      </c>
      <c r="E138" s="140" t="s">
        <v>220</v>
      </c>
      <c r="F138" s="49" t="s">
        <v>129</v>
      </c>
      <c r="G138" s="47"/>
      <c r="H138" s="47"/>
      <c r="I138" s="264">
        <f>766+50</f>
        <v>816</v>
      </c>
      <c r="J138" s="318">
        <v>530</v>
      </c>
      <c r="K138" s="263">
        <f t="shared" si="2"/>
        <v>64.95098039215686</v>
      </c>
    </row>
    <row r="139" spans="1:11" ht="20.25" customHeight="1">
      <c r="A139" s="209" t="s">
        <v>176</v>
      </c>
      <c r="B139" s="38">
        <v>528</v>
      </c>
      <c r="C139" s="242" t="s">
        <v>10</v>
      </c>
      <c r="D139" s="242" t="s">
        <v>16</v>
      </c>
      <c r="E139" s="150" t="s">
        <v>29</v>
      </c>
      <c r="F139" s="150" t="s">
        <v>7</v>
      </c>
      <c r="G139" s="46"/>
      <c r="H139" s="46"/>
      <c r="I139" s="263">
        <f aca="true" t="shared" si="9" ref="I139:J142">I140</f>
        <v>299.3</v>
      </c>
      <c r="J139" s="263">
        <f t="shared" si="9"/>
        <v>299.3</v>
      </c>
      <c r="K139" s="263">
        <f t="shared" si="2"/>
        <v>100</v>
      </c>
    </row>
    <row r="140" spans="1:11" ht="30" customHeight="1">
      <c r="A140" s="220" t="s">
        <v>177</v>
      </c>
      <c r="B140" s="37">
        <v>528</v>
      </c>
      <c r="C140" s="149" t="s">
        <v>10</v>
      </c>
      <c r="D140" s="149" t="s">
        <v>24</v>
      </c>
      <c r="E140" s="200" t="s">
        <v>29</v>
      </c>
      <c r="F140" s="151" t="s">
        <v>7</v>
      </c>
      <c r="G140" s="47"/>
      <c r="H140" s="47"/>
      <c r="I140" s="264">
        <f t="shared" si="9"/>
        <v>299.3</v>
      </c>
      <c r="J140" s="264">
        <f t="shared" si="9"/>
        <v>299.3</v>
      </c>
      <c r="K140" s="263">
        <f t="shared" si="2"/>
        <v>100</v>
      </c>
    </row>
    <row r="141" spans="1:11" ht="26.25" customHeight="1">
      <c r="A141" s="220" t="s">
        <v>111</v>
      </c>
      <c r="B141" s="37">
        <v>528</v>
      </c>
      <c r="C141" s="149" t="s">
        <v>10</v>
      </c>
      <c r="D141" s="149" t="s">
        <v>24</v>
      </c>
      <c r="E141" s="149" t="s">
        <v>178</v>
      </c>
      <c r="F141" s="149" t="s">
        <v>7</v>
      </c>
      <c r="G141" s="47"/>
      <c r="H141" s="47"/>
      <c r="I141" s="264">
        <f t="shared" si="9"/>
        <v>299.3</v>
      </c>
      <c r="J141" s="264">
        <f t="shared" si="9"/>
        <v>299.3</v>
      </c>
      <c r="K141" s="263">
        <f t="shared" si="2"/>
        <v>100</v>
      </c>
    </row>
    <row r="142" spans="1:11" ht="44.25" customHeight="1">
      <c r="A142" s="220" t="s">
        <v>179</v>
      </c>
      <c r="B142" s="37">
        <v>528</v>
      </c>
      <c r="C142" s="149" t="s">
        <v>10</v>
      </c>
      <c r="D142" s="149" t="s">
        <v>24</v>
      </c>
      <c r="E142" s="149" t="s">
        <v>180</v>
      </c>
      <c r="F142" s="149" t="s">
        <v>7</v>
      </c>
      <c r="G142" s="47"/>
      <c r="H142" s="47"/>
      <c r="I142" s="264">
        <f t="shared" si="9"/>
        <v>299.3</v>
      </c>
      <c r="J142" s="264">
        <f t="shared" si="9"/>
        <v>299.3</v>
      </c>
      <c r="K142" s="263">
        <f t="shared" si="2"/>
        <v>100</v>
      </c>
    </row>
    <row r="143" spans="1:11" ht="19.5" customHeight="1">
      <c r="A143" s="204" t="s">
        <v>181</v>
      </c>
      <c r="B143" s="37">
        <v>528</v>
      </c>
      <c r="C143" s="149" t="s">
        <v>10</v>
      </c>
      <c r="D143" s="149" t="s">
        <v>24</v>
      </c>
      <c r="E143" s="149" t="s">
        <v>180</v>
      </c>
      <c r="F143" s="152" t="s">
        <v>182</v>
      </c>
      <c r="G143" s="47"/>
      <c r="H143" s="47"/>
      <c r="I143" s="264">
        <v>299.3</v>
      </c>
      <c r="J143" s="373">
        <v>299.3</v>
      </c>
      <c r="K143" s="263">
        <f t="shared" si="2"/>
        <v>100</v>
      </c>
    </row>
    <row r="144" spans="1:11" ht="21" customHeight="1">
      <c r="A144" s="278" t="s">
        <v>50</v>
      </c>
      <c r="B144" s="38">
        <v>528</v>
      </c>
      <c r="C144" s="242" t="s">
        <v>15</v>
      </c>
      <c r="D144" s="242" t="s">
        <v>16</v>
      </c>
      <c r="E144" s="242" t="s">
        <v>29</v>
      </c>
      <c r="F144" s="279" t="s">
        <v>7</v>
      </c>
      <c r="G144" s="46"/>
      <c r="H144" s="46"/>
      <c r="I144" s="263">
        <f>I148+I146</f>
        <v>8063.4</v>
      </c>
      <c r="J144" s="263">
        <f>J148+J146</f>
        <v>7060.9</v>
      </c>
      <c r="K144" s="263">
        <f t="shared" si="2"/>
        <v>87.5672793114567</v>
      </c>
    </row>
    <row r="145" spans="1:11" ht="21" customHeight="1">
      <c r="A145" s="304" t="s">
        <v>291</v>
      </c>
      <c r="B145" s="37">
        <v>528</v>
      </c>
      <c r="C145" s="149" t="s">
        <v>15</v>
      </c>
      <c r="D145" s="149" t="s">
        <v>22</v>
      </c>
      <c r="E145" s="149" t="s">
        <v>29</v>
      </c>
      <c r="F145" s="152" t="s">
        <v>7</v>
      </c>
      <c r="G145" s="46"/>
      <c r="H145" s="46"/>
      <c r="I145" s="263">
        <f>I148+I146</f>
        <v>8063.4</v>
      </c>
      <c r="J145" s="263">
        <f>J148+J146</f>
        <v>7060.9</v>
      </c>
      <c r="K145" s="263">
        <f aca="true" t="shared" si="10" ref="K145:K208">J145/I145*100</f>
        <v>87.5672793114567</v>
      </c>
    </row>
    <row r="146" spans="1:11" ht="30" customHeight="1">
      <c r="A146" s="204" t="s">
        <v>282</v>
      </c>
      <c r="B146" s="37">
        <v>528</v>
      </c>
      <c r="C146" s="149" t="s">
        <v>15</v>
      </c>
      <c r="D146" s="149" t="s">
        <v>22</v>
      </c>
      <c r="E146" s="149" t="s">
        <v>283</v>
      </c>
      <c r="F146" s="152" t="s">
        <v>7</v>
      </c>
      <c r="G146" s="47"/>
      <c r="H146" s="47"/>
      <c r="I146" s="264">
        <f>I147</f>
        <v>5249.8</v>
      </c>
      <c r="J146" s="318">
        <v>4251.7</v>
      </c>
      <c r="K146" s="263">
        <f t="shared" si="10"/>
        <v>80.98784715608213</v>
      </c>
    </row>
    <row r="147" spans="1:11" ht="72" customHeight="1">
      <c r="A147" s="204" t="s">
        <v>272</v>
      </c>
      <c r="B147" s="37">
        <v>528</v>
      </c>
      <c r="C147" s="149" t="s">
        <v>15</v>
      </c>
      <c r="D147" s="149" t="s">
        <v>22</v>
      </c>
      <c r="E147" s="149" t="s">
        <v>283</v>
      </c>
      <c r="F147" s="152" t="s">
        <v>173</v>
      </c>
      <c r="G147" s="47"/>
      <c r="H147" s="47"/>
      <c r="I147" s="264">
        <f>4649.8+600</f>
        <v>5249.8</v>
      </c>
      <c r="J147" s="318">
        <v>4251.7</v>
      </c>
      <c r="K147" s="263">
        <f t="shared" si="10"/>
        <v>80.98784715608213</v>
      </c>
    </row>
    <row r="148" spans="1:11" ht="102.75" customHeight="1">
      <c r="A148" s="204" t="s">
        <v>287</v>
      </c>
      <c r="B148" s="37">
        <v>528</v>
      </c>
      <c r="C148" s="149" t="s">
        <v>15</v>
      </c>
      <c r="D148" s="149" t="s">
        <v>22</v>
      </c>
      <c r="E148" s="149" t="s">
        <v>288</v>
      </c>
      <c r="F148" s="152" t="s">
        <v>7</v>
      </c>
      <c r="G148" s="47"/>
      <c r="H148" s="47"/>
      <c r="I148" s="270">
        <f>I149</f>
        <v>2813.6</v>
      </c>
      <c r="J148" s="270">
        <f>J149</f>
        <v>2809.2</v>
      </c>
      <c r="K148" s="263">
        <f t="shared" si="10"/>
        <v>99.84361671879442</v>
      </c>
    </row>
    <row r="149" spans="1:11" ht="72.75" customHeight="1">
      <c r="A149" s="204" t="s">
        <v>272</v>
      </c>
      <c r="B149" s="37">
        <v>528</v>
      </c>
      <c r="C149" s="149" t="s">
        <v>15</v>
      </c>
      <c r="D149" s="149" t="s">
        <v>22</v>
      </c>
      <c r="E149" s="149" t="s">
        <v>288</v>
      </c>
      <c r="F149" s="152" t="s">
        <v>173</v>
      </c>
      <c r="G149" s="47"/>
      <c r="H149" s="47"/>
      <c r="I149" s="270">
        <v>2813.6</v>
      </c>
      <c r="J149" s="318">
        <v>2809.2</v>
      </c>
      <c r="K149" s="263">
        <f t="shared" si="10"/>
        <v>99.84361671879442</v>
      </c>
    </row>
    <row r="150" spans="1:11" ht="18.75" customHeight="1">
      <c r="A150" s="208" t="s">
        <v>94</v>
      </c>
      <c r="B150" s="104">
        <v>528</v>
      </c>
      <c r="C150" s="21" t="s">
        <v>45</v>
      </c>
      <c r="D150" s="21" t="s">
        <v>16</v>
      </c>
      <c r="E150" s="179" t="s">
        <v>29</v>
      </c>
      <c r="F150" s="21" t="s">
        <v>7</v>
      </c>
      <c r="G150" s="46"/>
      <c r="H150" s="46"/>
      <c r="I150" s="263">
        <f>I154+I151</f>
        <v>6300</v>
      </c>
      <c r="J150" s="263">
        <f>J154+J151</f>
        <v>6300</v>
      </c>
      <c r="K150" s="263">
        <f t="shared" si="10"/>
        <v>100</v>
      </c>
    </row>
    <row r="151" spans="1:11" ht="20.25" customHeight="1">
      <c r="A151" s="204" t="s">
        <v>92</v>
      </c>
      <c r="B151" s="87">
        <v>528</v>
      </c>
      <c r="C151" s="49" t="s">
        <v>45</v>
      </c>
      <c r="D151" s="49" t="s">
        <v>10</v>
      </c>
      <c r="E151" s="51" t="s">
        <v>29</v>
      </c>
      <c r="F151" s="49" t="s">
        <v>7</v>
      </c>
      <c r="G151" s="47"/>
      <c r="H151" s="47"/>
      <c r="I151" s="270">
        <f>I152</f>
        <v>100</v>
      </c>
      <c r="J151" s="270">
        <f>J152</f>
        <v>100</v>
      </c>
      <c r="K151" s="263">
        <f t="shared" si="10"/>
        <v>100</v>
      </c>
    </row>
    <row r="152" spans="1:11" ht="26.25" customHeight="1">
      <c r="A152" s="204" t="s">
        <v>51</v>
      </c>
      <c r="B152" s="87">
        <v>503</v>
      </c>
      <c r="C152" s="49" t="s">
        <v>45</v>
      </c>
      <c r="D152" s="49" t="s">
        <v>10</v>
      </c>
      <c r="E152" s="51" t="s">
        <v>276</v>
      </c>
      <c r="F152" s="49" t="s">
        <v>7</v>
      </c>
      <c r="G152" s="47"/>
      <c r="H152" s="47"/>
      <c r="I152" s="270">
        <f>I153</f>
        <v>100</v>
      </c>
      <c r="J152" s="270">
        <f>J153</f>
        <v>100</v>
      </c>
      <c r="K152" s="263">
        <f t="shared" si="10"/>
        <v>100</v>
      </c>
    </row>
    <row r="153" spans="1:11" ht="20.25" customHeight="1">
      <c r="A153" s="223" t="s">
        <v>93</v>
      </c>
      <c r="B153" s="87">
        <v>528</v>
      </c>
      <c r="C153" s="49" t="s">
        <v>45</v>
      </c>
      <c r="D153" s="49" t="s">
        <v>10</v>
      </c>
      <c r="E153" s="51" t="s">
        <v>276</v>
      </c>
      <c r="F153" s="49" t="s">
        <v>148</v>
      </c>
      <c r="G153" s="47"/>
      <c r="H153" s="47"/>
      <c r="I153" s="270">
        <f>150-50</f>
        <v>100</v>
      </c>
      <c r="J153" s="318">
        <v>100</v>
      </c>
      <c r="K153" s="263">
        <f t="shared" si="10"/>
        <v>100</v>
      </c>
    </row>
    <row r="154" spans="1:11" ht="30" customHeight="1">
      <c r="A154" s="230" t="s">
        <v>222</v>
      </c>
      <c r="B154" s="187">
        <v>528</v>
      </c>
      <c r="C154" s="140" t="s">
        <v>45</v>
      </c>
      <c r="D154" s="140" t="s">
        <v>45</v>
      </c>
      <c r="E154" s="341" t="s">
        <v>29</v>
      </c>
      <c r="F154" s="140" t="s">
        <v>7</v>
      </c>
      <c r="G154" s="140" t="s">
        <v>311</v>
      </c>
      <c r="H154" s="140" t="s">
        <v>312</v>
      </c>
      <c r="I154" s="270">
        <f>I155</f>
        <v>6200</v>
      </c>
      <c r="J154" s="270">
        <f>J155</f>
        <v>6200</v>
      </c>
      <c r="K154" s="263">
        <f t="shared" si="10"/>
        <v>100</v>
      </c>
    </row>
    <row r="155" spans="1:11" ht="57.75" customHeight="1">
      <c r="A155" s="230" t="s">
        <v>308</v>
      </c>
      <c r="B155" s="187">
        <v>528</v>
      </c>
      <c r="C155" s="140" t="s">
        <v>45</v>
      </c>
      <c r="D155" s="140" t="s">
        <v>45</v>
      </c>
      <c r="E155" s="341" t="s">
        <v>309</v>
      </c>
      <c r="F155" s="140" t="s">
        <v>310</v>
      </c>
      <c r="G155" s="197"/>
      <c r="H155" s="197"/>
      <c r="I155" s="270">
        <v>6200</v>
      </c>
      <c r="J155" s="376">
        <v>6200</v>
      </c>
      <c r="K155" s="263">
        <f t="shared" si="10"/>
        <v>100</v>
      </c>
    </row>
    <row r="156" spans="1:11" ht="19.5" customHeight="1">
      <c r="A156" s="222" t="s">
        <v>119</v>
      </c>
      <c r="B156" s="367">
        <v>528</v>
      </c>
      <c r="C156" s="130" t="s">
        <v>46</v>
      </c>
      <c r="D156" s="130" t="s">
        <v>16</v>
      </c>
      <c r="E156" s="368" t="s">
        <v>29</v>
      </c>
      <c r="F156" s="130" t="s">
        <v>7</v>
      </c>
      <c r="G156" s="135"/>
      <c r="H156" s="135"/>
      <c r="I156" s="263">
        <f aca="true" t="shared" si="11" ref="I156:J158">I157</f>
        <v>40</v>
      </c>
      <c r="J156" s="263">
        <f t="shared" si="11"/>
        <v>40</v>
      </c>
      <c r="K156" s="263">
        <f t="shared" si="10"/>
        <v>100</v>
      </c>
    </row>
    <row r="157" spans="1:11" ht="18" customHeight="1">
      <c r="A157" s="5" t="s">
        <v>69</v>
      </c>
      <c r="B157" s="187">
        <v>528</v>
      </c>
      <c r="C157" s="140" t="s">
        <v>46</v>
      </c>
      <c r="D157" s="140" t="s">
        <v>16</v>
      </c>
      <c r="E157" s="341" t="s">
        <v>29</v>
      </c>
      <c r="F157" s="140" t="s">
        <v>7</v>
      </c>
      <c r="G157" s="197"/>
      <c r="H157" s="197"/>
      <c r="I157" s="270">
        <f t="shared" si="11"/>
        <v>40</v>
      </c>
      <c r="J157" s="270">
        <f t="shared" si="11"/>
        <v>40</v>
      </c>
      <c r="K157" s="263">
        <f t="shared" si="10"/>
        <v>100</v>
      </c>
    </row>
    <row r="158" spans="1:11" ht="32.25" customHeight="1">
      <c r="A158" s="230" t="s">
        <v>192</v>
      </c>
      <c r="B158" s="187">
        <v>528</v>
      </c>
      <c r="C158" s="140" t="s">
        <v>46</v>
      </c>
      <c r="D158" s="140" t="s">
        <v>8</v>
      </c>
      <c r="E158" s="341" t="s">
        <v>323</v>
      </c>
      <c r="F158" s="140" t="s">
        <v>7</v>
      </c>
      <c r="G158" s="197"/>
      <c r="H158" s="197"/>
      <c r="I158" s="270">
        <f t="shared" si="11"/>
        <v>40</v>
      </c>
      <c r="J158" s="270">
        <f t="shared" si="11"/>
        <v>40</v>
      </c>
      <c r="K158" s="263">
        <f t="shared" si="10"/>
        <v>100</v>
      </c>
    </row>
    <row r="159" spans="1:11" ht="59.25" customHeight="1">
      <c r="A159" s="366" t="s">
        <v>324</v>
      </c>
      <c r="B159" s="187">
        <v>528</v>
      </c>
      <c r="C159" s="140" t="s">
        <v>46</v>
      </c>
      <c r="D159" s="140" t="s">
        <v>8</v>
      </c>
      <c r="E159" s="341" t="s">
        <v>323</v>
      </c>
      <c r="F159" s="140" t="s">
        <v>310</v>
      </c>
      <c r="G159" s="197"/>
      <c r="H159" s="197"/>
      <c r="I159" s="270">
        <v>40</v>
      </c>
      <c r="J159" s="322">
        <v>40</v>
      </c>
      <c r="K159" s="263">
        <f t="shared" si="10"/>
        <v>100</v>
      </c>
    </row>
    <row r="160" spans="1:11" ht="55.5" customHeight="1">
      <c r="A160" s="17" t="s">
        <v>266</v>
      </c>
      <c r="B160" s="102" t="s">
        <v>91</v>
      </c>
      <c r="C160" s="21" t="s">
        <v>64</v>
      </c>
      <c r="D160" s="21" t="s">
        <v>16</v>
      </c>
      <c r="E160" s="21" t="s">
        <v>29</v>
      </c>
      <c r="F160" s="21" t="s">
        <v>7</v>
      </c>
      <c r="G160" s="46" t="e">
        <f>G161+#REF!+#REF!+#REF!</f>
        <v>#REF!</v>
      </c>
      <c r="H160" s="46" t="e">
        <f>H161+#REF!+#REF!+#REF!</f>
        <v>#REF!</v>
      </c>
      <c r="I160" s="263">
        <f>I161+I165</f>
        <v>17252.329999999998</v>
      </c>
      <c r="J160" s="263">
        <f>J161+J165</f>
        <v>17252.3</v>
      </c>
      <c r="K160" s="263">
        <f t="shared" si="10"/>
        <v>99.99982611044422</v>
      </c>
    </row>
    <row r="161" spans="1:11" ht="45.75" customHeight="1">
      <c r="A161" s="232" t="s">
        <v>124</v>
      </c>
      <c r="B161" s="110" t="s">
        <v>91</v>
      </c>
      <c r="C161" s="55" t="s">
        <v>64</v>
      </c>
      <c r="D161" s="55" t="s">
        <v>8</v>
      </c>
      <c r="E161" s="55" t="s">
        <v>29</v>
      </c>
      <c r="F161" s="58" t="s">
        <v>7</v>
      </c>
      <c r="G161" s="59">
        <f aca="true" t="shared" si="12" ref="G161:J163">G162</f>
        <v>0</v>
      </c>
      <c r="H161" s="59">
        <f t="shared" si="12"/>
        <v>14013.15</v>
      </c>
      <c r="I161" s="271">
        <f t="shared" si="12"/>
        <v>14382.73</v>
      </c>
      <c r="J161" s="271">
        <f t="shared" si="12"/>
        <v>14382.7</v>
      </c>
      <c r="K161" s="263">
        <f t="shared" si="10"/>
        <v>99.99979141651134</v>
      </c>
    </row>
    <row r="162" spans="1:11" ht="24" customHeight="1">
      <c r="A162" s="218" t="s">
        <v>87</v>
      </c>
      <c r="B162" s="110" t="s">
        <v>91</v>
      </c>
      <c r="C162" s="55" t="s">
        <v>64</v>
      </c>
      <c r="D162" s="55" t="s">
        <v>8</v>
      </c>
      <c r="E162" s="55" t="s">
        <v>259</v>
      </c>
      <c r="F162" s="58" t="s">
        <v>7</v>
      </c>
      <c r="G162" s="60">
        <f t="shared" si="12"/>
        <v>0</v>
      </c>
      <c r="H162" s="60">
        <f t="shared" si="12"/>
        <v>14013.15</v>
      </c>
      <c r="I162" s="271">
        <f t="shared" si="12"/>
        <v>14382.73</v>
      </c>
      <c r="J162" s="271">
        <f t="shared" si="12"/>
        <v>14382.7</v>
      </c>
      <c r="K162" s="263">
        <f t="shared" si="10"/>
        <v>99.99979141651134</v>
      </c>
    </row>
    <row r="163" spans="1:11" ht="43.5" customHeight="1">
      <c r="A163" s="218" t="s">
        <v>88</v>
      </c>
      <c r="B163" s="110" t="s">
        <v>91</v>
      </c>
      <c r="C163" s="55" t="s">
        <v>64</v>
      </c>
      <c r="D163" s="55" t="s">
        <v>8</v>
      </c>
      <c r="E163" s="61" t="s">
        <v>260</v>
      </c>
      <c r="F163" s="62" t="s">
        <v>7</v>
      </c>
      <c r="G163" s="56">
        <f t="shared" si="12"/>
        <v>0</v>
      </c>
      <c r="H163" s="56">
        <f t="shared" si="12"/>
        <v>14013.15</v>
      </c>
      <c r="I163" s="271">
        <f t="shared" si="12"/>
        <v>14382.73</v>
      </c>
      <c r="J163" s="271">
        <f t="shared" si="12"/>
        <v>14382.7</v>
      </c>
      <c r="K163" s="263">
        <f t="shared" si="10"/>
        <v>99.99979141651134</v>
      </c>
    </row>
    <row r="164" spans="1:11" ht="21" customHeight="1">
      <c r="A164" s="218" t="s">
        <v>89</v>
      </c>
      <c r="B164" s="110" t="s">
        <v>91</v>
      </c>
      <c r="C164" s="55" t="s">
        <v>64</v>
      </c>
      <c r="D164" s="55" t="s">
        <v>8</v>
      </c>
      <c r="E164" s="61" t="s">
        <v>260</v>
      </c>
      <c r="F164" s="123" t="s">
        <v>144</v>
      </c>
      <c r="G164" s="56"/>
      <c r="H164" s="56">
        <v>14013.15</v>
      </c>
      <c r="I164" s="271">
        <f>14383.27-0.54</f>
        <v>14382.73</v>
      </c>
      <c r="J164" s="378">
        <v>14382.7</v>
      </c>
      <c r="K164" s="263">
        <f t="shared" si="10"/>
        <v>99.99979141651134</v>
      </c>
    </row>
    <row r="165" spans="1:11" ht="46.5" customHeight="1">
      <c r="A165" s="223" t="s">
        <v>147</v>
      </c>
      <c r="B165" s="112" t="s">
        <v>91</v>
      </c>
      <c r="C165" s="63" t="s">
        <v>64</v>
      </c>
      <c r="D165" s="120" t="s">
        <v>24</v>
      </c>
      <c r="E165" s="120" t="s">
        <v>29</v>
      </c>
      <c r="F165" s="125" t="s">
        <v>7</v>
      </c>
      <c r="G165" s="124"/>
      <c r="H165" s="124"/>
      <c r="I165" s="271">
        <f>I166+I169</f>
        <v>2869.6</v>
      </c>
      <c r="J165" s="271">
        <f>J166+J169</f>
        <v>2869.6</v>
      </c>
      <c r="K165" s="263">
        <f t="shared" si="10"/>
        <v>100</v>
      </c>
    </row>
    <row r="166" spans="1:11" ht="73.5" customHeight="1">
      <c r="A166" s="157" t="s">
        <v>216</v>
      </c>
      <c r="B166" s="126" t="s">
        <v>91</v>
      </c>
      <c r="C166" s="120" t="s">
        <v>64</v>
      </c>
      <c r="D166" s="120" t="s">
        <v>24</v>
      </c>
      <c r="E166" s="120" t="s">
        <v>264</v>
      </c>
      <c r="F166" s="125" t="s">
        <v>7</v>
      </c>
      <c r="G166" s="124"/>
      <c r="H166" s="124"/>
      <c r="I166" s="271">
        <f>I167</f>
        <v>2798.6</v>
      </c>
      <c r="J166" s="271">
        <f>J167</f>
        <v>2798.6</v>
      </c>
      <c r="K166" s="263">
        <f t="shared" si="10"/>
        <v>100</v>
      </c>
    </row>
    <row r="167" spans="1:11" ht="43.5" customHeight="1">
      <c r="A167" s="121" t="s">
        <v>150</v>
      </c>
      <c r="B167" s="126" t="s">
        <v>91</v>
      </c>
      <c r="C167" s="120" t="s">
        <v>64</v>
      </c>
      <c r="D167" s="120" t="s">
        <v>24</v>
      </c>
      <c r="E167" s="98" t="s">
        <v>1</v>
      </c>
      <c r="F167" s="125" t="s">
        <v>7</v>
      </c>
      <c r="G167" s="124"/>
      <c r="H167" s="124"/>
      <c r="I167" s="271">
        <f>I168</f>
        <v>2798.6</v>
      </c>
      <c r="J167" s="271">
        <f>J168</f>
        <v>2798.6</v>
      </c>
      <c r="K167" s="263">
        <f t="shared" si="10"/>
        <v>100</v>
      </c>
    </row>
    <row r="168" spans="1:11" ht="16.5" customHeight="1">
      <c r="A168" s="223" t="s">
        <v>93</v>
      </c>
      <c r="B168" s="126" t="s">
        <v>91</v>
      </c>
      <c r="C168" s="120" t="s">
        <v>64</v>
      </c>
      <c r="D168" s="120" t="s">
        <v>24</v>
      </c>
      <c r="E168" s="98" t="s">
        <v>1</v>
      </c>
      <c r="F168" s="125" t="s">
        <v>148</v>
      </c>
      <c r="G168" s="124"/>
      <c r="H168" s="124"/>
      <c r="I168" s="271">
        <f>400+2398.6</f>
        <v>2798.6</v>
      </c>
      <c r="J168" s="315">
        <v>2798.6</v>
      </c>
      <c r="K168" s="263">
        <f t="shared" si="10"/>
        <v>100</v>
      </c>
    </row>
    <row r="169" spans="1:11" ht="62.25" customHeight="1">
      <c r="A169" s="223" t="s">
        <v>280</v>
      </c>
      <c r="B169" s="126" t="s">
        <v>91</v>
      </c>
      <c r="C169" s="120" t="s">
        <v>64</v>
      </c>
      <c r="D169" s="120" t="s">
        <v>24</v>
      </c>
      <c r="E169" s="98" t="s">
        <v>281</v>
      </c>
      <c r="F169" s="125" t="s">
        <v>7</v>
      </c>
      <c r="G169" s="124"/>
      <c r="H169" s="124"/>
      <c r="I169" s="271">
        <f>I170</f>
        <v>71</v>
      </c>
      <c r="J169" s="271">
        <f>J170</f>
        <v>71</v>
      </c>
      <c r="K169" s="263">
        <f t="shared" si="10"/>
        <v>100</v>
      </c>
    </row>
    <row r="170" spans="1:11" ht="23.25" customHeight="1">
      <c r="A170" s="223" t="s">
        <v>93</v>
      </c>
      <c r="B170" s="126" t="s">
        <v>91</v>
      </c>
      <c r="C170" s="120" t="s">
        <v>64</v>
      </c>
      <c r="D170" s="120" t="s">
        <v>24</v>
      </c>
      <c r="E170" s="98" t="s">
        <v>281</v>
      </c>
      <c r="F170" s="125" t="s">
        <v>148</v>
      </c>
      <c r="G170" s="124"/>
      <c r="H170" s="124"/>
      <c r="I170" s="271">
        <f>10+20+19+22</f>
        <v>71</v>
      </c>
      <c r="J170" s="315">
        <v>71</v>
      </c>
      <c r="K170" s="263">
        <f t="shared" si="10"/>
        <v>100</v>
      </c>
    </row>
    <row r="171" spans="1:11" ht="74.25" customHeight="1">
      <c r="A171" s="224" t="s">
        <v>126</v>
      </c>
      <c r="B171" s="133" t="s">
        <v>63</v>
      </c>
      <c r="C171" s="134" t="s">
        <v>26</v>
      </c>
      <c r="D171" s="134" t="s">
        <v>26</v>
      </c>
      <c r="E171" s="134" t="s">
        <v>29</v>
      </c>
      <c r="F171" s="134" t="s">
        <v>7</v>
      </c>
      <c r="G171" s="135" t="e">
        <f aca="true" t="shared" si="13" ref="G171:J174">G172</f>
        <v>#REF!</v>
      </c>
      <c r="H171" s="135" t="e">
        <f t="shared" si="13"/>
        <v>#REF!</v>
      </c>
      <c r="I171" s="273">
        <f t="shared" si="13"/>
        <v>900.5</v>
      </c>
      <c r="J171" s="273">
        <f t="shared" si="13"/>
        <v>898.3</v>
      </c>
      <c r="K171" s="263">
        <f t="shared" si="10"/>
        <v>99.75569128262076</v>
      </c>
    </row>
    <row r="172" spans="1:11" ht="21" customHeight="1">
      <c r="A172" s="5" t="s">
        <v>17</v>
      </c>
      <c r="B172" s="182" t="s">
        <v>63</v>
      </c>
      <c r="C172" s="183" t="s">
        <v>8</v>
      </c>
      <c r="D172" s="183" t="s">
        <v>16</v>
      </c>
      <c r="E172" s="183" t="s">
        <v>29</v>
      </c>
      <c r="F172" s="183" t="s">
        <v>7</v>
      </c>
      <c r="G172" s="66" t="e">
        <f t="shared" si="13"/>
        <v>#REF!</v>
      </c>
      <c r="H172" s="66" t="e">
        <f t="shared" si="13"/>
        <v>#REF!</v>
      </c>
      <c r="I172" s="271">
        <f t="shared" si="13"/>
        <v>900.5</v>
      </c>
      <c r="J172" s="271">
        <f t="shared" si="13"/>
        <v>898.3</v>
      </c>
      <c r="K172" s="263">
        <f t="shared" si="10"/>
        <v>99.75569128262076</v>
      </c>
    </row>
    <row r="173" spans="1:11" ht="19.5" customHeight="1">
      <c r="A173" s="5" t="s">
        <v>19</v>
      </c>
      <c r="B173" s="182" t="s">
        <v>63</v>
      </c>
      <c r="C173" s="183" t="s">
        <v>8</v>
      </c>
      <c r="D173" s="183" t="s">
        <v>116</v>
      </c>
      <c r="E173" s="183" t="s">
        <v>29</v>
      </c>
      <c r="F173" s="183" t="s">
        <v>7</v>
      </c>
      <c r="G173" s="66" t="e">
        <f>G174+#REF!</f>
        <v>#REF!</v>
      </c>
      <c r="H173" s="66" t="e">
        <f t="shared" si="13"/>
        <v>#REF!</v>
      </c>
      <c r="I173" s="271">
        <f t="shared" si="13"/>
        <v>900.5</v>
      </c>
      <c r="J173" s="271">
        <f t="shared" si="13"/>
        <v>898.3</v>
      </c>
      <c r="K173" s="263">
        <f t="shared" si="10"/>
        <v>99.75569128262076</v>
      </c>
    </row>
    <row r="174" spans="1:11" ht="74.25" customHeight="1">
      <c r="A174" s="5" t="s">
        <v>59</v>
      </c>
      <c r="B174" s="182" t="s">
        <v>63</v>
      </c>
      <c r="C174" s="183" t="s">
        <v>8</v>
      </c>
      <c r="D174" s="183" t="s">
        <v>116</v>
      </c>
      <c r="E174" s="183" t="s">
        <v>65</v>
      </c>
      <c r="F174" s="183" t="s">
        <v>7</v>
      </c>
      <c r="G174" s="66" t="e">
        <f>G175</f>
        <v>#REF!</v>
      </c>
      <c r="H174" s="66" t="e">
        <f t="shared" si="13"/>
        <v>#REF!</v>
      </c>
      <c r="I174" s="271">
        <f t="shared" si="13"/>
        <v>900.5</v>
      </c>
      <c r="J174" s="271">
        <f t="shared" si="13"/>
        <v>898.3</v>
      </c>
      <c r="K174" s="263">
        <f t="shared" si="10"/>
        <v>99.75569128262076</v>
      </c>
    </row>
    <row r="175" spans="1:11" ht="18.75" customHeight="1">
      <c r="A175" s="5" t="s">
        <v>18</v>
      </c>
      <c r="B175" s="182" t="s">
        <v>63</v>
      </c>
      <c r="C175" s="183" t="s">
        <v>8</v>
      </c>
      <c r="D175" s="183" t="s">
        <v>116</v>
      </c>
      <c r="E175" s="183" t="s">
        <v>66</v>
      </c>
      <c r="F175" s="183" t="s">
        <v>7</v>
      </c>
      <c r="G175" s="66" t="e">
        <f>#REF!</f>
        <v>#REF!</v>
      </c>
      <c r="H175" s="66" t="e">
        <f>#REF!</f>
        <v>#REF!</v>
      </c>
      <c r="I175" s="271">
        <f>I176+I177</f>
        <v>900.5</v>
      </c>
      <c r="J175" s="271">
        <f>J176+J177</f>
        <v>898.3</v>
      </c>
      <c r="K175" s="263">
        <f t="shared" si="10"/>
        <v>99.75569128262076</v>
      </c>
    </row>
    <row r="176" spans="1:11" ht="21" customHeight="1">
      <c r="A176" s="212" t="s">
        <v>133</v>
      </c>
      <c r="B176" s="182" t="s">
        <v>63</v>
      </c>
      <c r="C176" s="183" t="s">
        <v>8</v>
      </c>
      <c r="D176" s="183" t="s">
        <v>116</v>
      </c>
      <c r="E176" s="183" t="s">
        <v>66</v>
      </c>
      <c r="F176" s="183" t="s">
        <v>127</v>
      </c>
      <c r="G176" s="66"/>
      <c r="H176" s="66"/>
      <c r="I176" s="271">
        <f>751.9+18.7</f>
        <v>770.6</v>
      </c>
      <c r="J176" s="315">
        <v>769.9</v>
      </c>
      <c r="K176" s="263">
        <f t="shared" si="10"/>
        <v>99.9091616921879</v>
      </c>
    </row>
    <row r="177" spans="1:14" ht="31.5" customHeight="1">
      <c r="A177" s="121" t="s">
        <v>142</v>
      </c>
      <c r="B177" s="182" t="s">
        <v>63</v>
      </c>
      <c r="C177" s="183" t="s">
        <v>8</v>
      </c>
      <c r="D177" s="183" t="s">
        <v>116</v>
      </c>
      <c r="E177" s="183" t="s">
        <v>66</v>
      </c>
      <c r="F177" s="183" t="s">
        <v>129</v>
      </c>
      <c r="G177" s="66"/>
      <c r="H177" s="66"/>
      <c r="I177" s="271">
        <v>129.9</v>
      </c>
      <c r="J177" s="315">
        <v>128.4</v>
      </c>
      <c r="K177" s="263">
        <f t="shared" si="10"/>
        <v>98.84526558891456</v>
      </c>
      <c r="N177" s="249"/>
    </row>
    <row r="178" spans="1:11" ht="63" customHeight="1">
      <c r="A178" s="205" t="s">
        <v>328</v>
      </c>
      <c r="B178" s="129" t="s">
        <v>67</v>
      </c>
      <c r="C178" s="130" t="s">
        <v>16</v>
      </c>
      <c r="D178" s="130" t="s">
        <v>16</v>
      </c>
      <c r="E178" s="130" t="s">
        <v>29</v>
      </c>
      <c r="F178" s="130" t="s">
        <v>7</v>
      </c>
      <c r="G178" s="131" t="e">
        <f>G179+G188</f>
        <v>#REF!</v>
      </c>
      <c r="H178" s="131" t="e">
        <f>H179+H188</f>
        <v>#REF!</v>
      </c>
      <c r="I178" s="263">
        <f>I179+I188</f>
        <v>9124.351</v>
      </c>
      <c r="J178" s="263">
        <f>J179+J188</f>
        <v>8961.1</v>
      </c>
      <c r="K178" s="263">
        <f t="shared" si="10"/>
        <v>98.21082069289092</v>
      </c>
    </row>
    <row r="179" spans="1:11" ht="18" customHeight="1">
      <c r="A179" s="225" t="s">
        <v>57</v>
      </c>
      <c r="B179" s="115" t="s">
        <v>67</v>
      </c>
      <c r="C179" s="67" t="s">
        <v>11</v>
      </c>
      <c r="D179" s="67" t="s">
        <v>16</v>
      </c>
      <c r="E179" s="67" t="s">
        <v>29</v>
      </c>
      <c r="F179" s="67" t="s">
        <v>7</v>
      </c>
      <c r="G179" s="68">
        <f aca="true" t="shared" si="14" ref="G179:J182">G180</f>
        <v>0</v>
      </c>
      <c r="H179" s="68">
        <f t="shared" si="14"/>
        <v>2073</v>
      </c>
      <c r="I179" s="272">
        <f t="shared" si="14"/>
        <v>3009.3</v>
      </c>
      <c r="J179" s="272">
        <f t="shared" si="14"/>
        <v>2956</v>
      </c>
      <c r="K179" s="263">
        <f t="shared" si="10"/>
        <v>98.22882397899843</v>
      </c>
    </row>
    <row r="180" spans="1:11" ht="17.25" customHeight="1">
      <c r="A180" s="157" t="s">
        <v>12</v>
      </c>
      <c r="B180" s="116" t="s">
        <v>67</v>
      </c>
      <c r="C180" s="15" t="s">
        <v>11</v>
      </c>
      <c r="D180" s="15" t="s">
        <v>16</v>
      </c>
      <c r="E180" s="15" t="s">
        <v>29</v>
      </c>
      <c r="F180" s="15" t="s">
        <v>7</v>
      </c>
      <c r="G180" s="69">
        <f t="shared" si="14"/>
        <v>0</v>
      </c>
      <c r="H180" s="69">
        <f t="shared" si="14"/>
        <v>2073</v>
      </c>
      <c r="I180" s="268">
        <f t="shared" si="14"/>
        <v>3009.3</v>
      </c>
      <c r="J180" s="268">
        <f t="shared" si="14"/>
        <v>2956</v>
      </c>
      <c r="K180" s="263">
        <f t="shared" si="10"/>
        <v>98.22882397899843</v>
      </c>
    </row>
    <row r="181" spans="1:11" ht="18" customHeight="1">
      <c r="A181" s="157" t="s">
        <v>13</v>
      </c>
      <c r="B181" s="108" t="s">
        <v>67</v>
      </c>
      <c r="C181" s="12" t="s">
        <v>11</v>
      </c>
      <c r="D181" s="12" t="s">
        <v>10</v>
      </c>
      <c r="E181" s="12" t="s">
        <v>29</v>
      </c>
      <c r="F181" s="12" t="s">
        <v>7</v>
      </c>
      <c r="G181" s="44">
        <f t="shared" si="14"/>
        <v>0</v>
      </c>
      <c r="H181" s="44">
        <f t="shared" si="14"/>
        <v>2073</v>
      </c>
      <c r="I181" s="265">
        <f>I182+I185</f>
        <v>3009.3</v>
      </c>
      <c r="J181" s="265">
        <f>J182+J185</f>
        <v>2956</v>
      </c>
      <c r="K181" s="263">
        <f t="shared" si="10"/>
        <v>98.22882397899843</v>
      </c>
    </row>
    <row r="182" spans="1:11" ht="26.25" customHeight="1">
      <c r="A182" s="212" t="s">
        <v>14</v>
      </c>
      <c r="B182" s="117" t="s">
        <v>67</v>
      </c>
      <c r="C182" s="70" t="s">
        <v>11</v>
      </c>
      <c r="D182" s="70" t="s">
        <v>10</v>
      </c>
      <c r="E182" s="11" t="s">
        <v>34</v>
      </c>
      <c r="F182" s="70" t="s">
        <v>7</v>
      </c>
      <c r="G182" s="53">
        <f t="shared" si="14"/>
        <v>0</v>
      </c>
      <c r="H182" s="53">
        <f t="shared" si="14"/>
        <v>2073</v>
      </c>
      <c r="I182" s="269">
        <f t="shared" si="14"/>
        <v>2229.8</v>
      </c>
      <c r="J182" s="269">
        <f t="shared" si="14"/>
        <v>2176.5</v>
      </c>
      <c r="K182" s="263">
        <f t="shared" si="10"/>
        <v>97.60965108978384</v>
      </c>
    </row>
    <row r="183" spans="1:11" ht="27" customHeight="1">
      <c r="A183" s="212" t="s">
        <v>20</v>
      </c>
      <c r="B183" s="117" t="s">
        <v>67</v>
      </c>
      <c r="C183" s="70" t="s">
        <v>11</v>
      </c>
      <c r="D183" s="70" t="s">
        <v>10</v>
      </c>
      <c r="E183" s="11" t="s">
        <v>68</v>
      </c>
      <c r="F183" s="70" t="s">
        <v>7</v>
      </c>
      <c r="G183" s="53">
        <f>G184</f>
        <v>0</v>
      </c>
      <c r="H183" s="53">
        <f>H184</f>
        <v>2073</v>
      </c>
      <c r="I183" s="269">
        <f>I184</f>
        <v>2229.8</v>
      </c>
      <c r="J183" s="269">
        <f>J184</f>
        <v>2176.5</v>
      </c>
      <c r="K183" s="263">
        <f t="shared" si="10"/>
        <v>97.60965108978384</v>
      </c>
    </row>
    <row r="184" spans="1:11" ht="45.75" customHeight="1">
      <c r="A184" s="121" t="s">
        <v>149</v>
      </c>
      <c r="B184" s="117" t="s">
        <v>67</v>
      </c>
      <c r="C184" s="70" t="s">
        <v>11</v>
      </c>
      <c r="D184" s="70" t="s">
        <v>10</v>
      </c>
      <c r="E184" s="11" t="s">
        <v>68</v>
      </c>
      <c r="F184" s="70" t="s">
        <v>141</v>
      </c>
      <c r="G184" s="44"/>
      <c r="H184" s="44">
        <v>2073</v>
      </c>
      <c r="I184" s="265">
        <f>2240-300+300-10.2</f>
        <v>2229.8</v>
      </c>
      <c r="J184" s="314">
        <v>2176.5</v>
      </c>
      <c r="K184" s="263">
        <f t="shared" si="10"/>
        <v>97.60965108978384</v>
      </c>
    </row>
    <row r="185" spans="1:11" ht="72" customHeight="1">
      <c r="A185" s="237" t="s">
        <v>263</v>
      </c>
      <c r="B185" s="306" t="s">
        <v>67</v>
      </c>
      <c r="C185" s="98" t="s">
        <v>11</v>
      </c>
      <c r="D185" s="98" t="s">
        <v>10</v>
      </c>
      <c r="E185" s="98" t="s">
        <v>264</v>
      </c>
      <c r="F185" s="120" t="s">
        <v>7</v>
      </c>
      <c r="G185" s="44"/>
      <c r="H185" s="44"/>
      <c r="I185" s="265">
        <f>I186</f>
        <v>779.5</v>
      </c>
      <c r="J185" s="265">
        <f>J186</f>
        <v>779.5</v>
      </c>
      <c r="K185" s="263">
        <f t="shared" si="10"/>
        <v>100</v>
      </c>
    </row>
    <row r="186" spans="1:11" ht="42.75" customHeight="1">
      <c r="A186" s="121" t="s">
        <v>150</v>
      </c>
      <c r="B186" s="350">
        <v>558</v>
      </c>
      <c r="C186" s="98" t="s">
        <v>11</v>
      </c>
      <c r="D186" s="98" t="s">
        <v>10</v>
      </c>
      <c r="E186" s="98" t="s">
        <v>1</v>
      </c>
      <c r="F186" s="98" t="s">
        <v>7</v>
      </c>
      <c r="G186" s="44"/>
      <c r="H186" s="44"/>
      <c r="I186" s="265">
        <f>I187</f>
        <v>779.5</v>
      </c>
      <c r="J186" s="265">
        <f>J187</f>
        <v>779.5</v>
      </c>
      <c r="K186" s="263">
        <f t="shared" si="10"/>
        <v>100</v>
      </c>
    </row>
    <row r="187" spans="1:11" ht="60" customHeight="1">
      <c r="A187" s="121" t="s">
        <v>149</v>
      </c>
      <c r="B187" s="350">
        <v>558</v>
      </c>
      <c r="C187" s="98" t="s">
        <v>11</v>
      </c>
      <c r="D187" s="98" t="s">
        <v>10</v>
      </c>
      <c r="E187" s="98" t="s">
        <v>1</v>
      </c>
      <c r="F187" s="98" t="s">
        <v>141</v>
      </c>
      <c r="G187" s="44"/>
      <c r="H187" s="44"/>
      <c r="I187" s="265">
        <v>779.5</v>
      </c>
      <c r="J187" s="314">
        <v>779.5</v>
      </c>
      <c r="K187" s="263">
        <f t="shared" si="10"/>
        <v>100</v>
      </c>
    </row>
    <row r="188" spans="1:11" ht="20.25" customHeight="1">
      <c r="A188" s="1" t="s">
        <v>119</v>
      </c>
      <c r="B188" s="111" t="s">
        <v>67</v>
      </c>
      <c r="C188" s="64" t="s">
        <v>46</v>
      </c>
      <c r="D188" s="64" t="s">
        <v>16</v>
      </c>
      <c r="E188" s="64" t="s">
        <v>29</v>
      </c>
      <c r="F188" s="64" t="s">
        <v>7</v>
      </c>
      <c r="G188" s="71" t="e">
        <f>G189+G221</f>
        <v>#REF!</v>
      </c>
      <c r="H188" s="71" t="e">
        <f>H189+H221+H203++H198</f>
        <v>#REF!</v>
      </c>
      <c r="I188" s="268">
        <f>I189+I221</f>
        <v>6115.051</v>
      </c>
      <c r="J188" s="268">
        <f>J189+J221</f>
        <v>6005.1</v>
      </c>
      <c r="K188" s="263">
        <f t="shared" si="10"/>
        <v>98.20196103025143</v>
      </c>
    </row>
    <row r="189" spans="1:11" ht="18" customHeight="1">
      <c r="A189" s="6" t="s">
        <v>69</v>
      </c>
      <c r="B189" s="114" t="s">
        <v>67</v>
      </c>
      <c r="C189" s="95" t="s">
        <v>46</v>
      </c>
      <c r="D189" s="95" t="s">
        <v>8</v>
      </c>
      <c r="E189" s="95" t="s">
        <v>29</v>
      </c>
      <c r="F189" s="95" t="s">
        <v>7</v>
      </c>
      <c r="G189" s="72" t="e">
        <f>#REF!+G198+G203</f>
        <v>#REF!</v>
      </c>
      <c r="H189" s="73" t="e">
        <f>#REF!</f>
        <v>#REF!</v>
      </c>
      <c r="I189" s="272">
        <f>I190+I216+I219</f>
        <v>5595.200000000001</v>
      </c>
      <c r="J189" s="272">
        <f>J190+J216+J219</f>
        <v>5488.1</v>
      </c>
      <c r="K189" s="263">
        <f t="shared" si="10"/>
        <v>98.08585930797827</v>
      </c>
    </row>
    <row r="190" spans="1:11" ht="32.25" customHeight="1">
      <c r="A190" s="280" t="s">
        <v>293</v>
      </c>
      <c r="B190" s="114" t="s">
        <v>67</v>
      </c>
      <c r="C190" s="95" t="s">
        <v>46</v>
      </c>
      <c r="D190" s="95" t="s">
        <v>8</v>
      </c>
      <c r="E190" s="95" t="s">
        <v>47</v>
      </c>
      <c r="F190" s="95" t="s">
        <v>7</v>
      </c>
      <c r="G190" s="72"/>
      <c r="H190" s="73"/>
      <c r="I190" s="272">
        <f>I191+I193+I195+I198+I203</f>
        <v>5562.200000000001</v>
      </c>
      <c r="J190" s="272">
        <f>J191+J193+J195+J198+J203</f>
        <v>5455.1</v>
      </c>
      <c r="K190" s="263">
        <f t="shared" si="10"/>
        <v>98.07450289453813</v>
      </c>
    </row>
    <row r="191" spans="1:11" ht="57.75" customHeight="1">
      <c r="A191" s="228" t="s">
        <v>194</v>
      </c>
      <c r="B191" s="255" t="s">
        <v>67</v>
      </c>
      <c r="C191" s="256" t="s">
        <v>46</v>
      </c>
      <c r="D191" s="256" t="s">
        <v>8</v>
      </c>
      <c r="E191" s="256" t="s">
        <v>195</v>
      </c>
      <c r="F191" s="257" t="s">
        <v>7</v>
      </c>
      <c r="G191" s="127"/>
      <c r="H191" s="127"/>
      <c r="I191" s="270">
        <f>I192</f>
        <v>90.80000000000001</v>
      </c>
      <c r="J191" s="270">
        <f>J192</f>
        <v>90.8</v>
      </c>
      <c r="K191" s="263">
        <f t="shared" si="10"/>
        <v>99.99999999999999</v>
      </c>
    </row>
    <row r="192" spans="1:11" ht="23.25" customHeight="1">
      <c r="A192" s="258" t="s">
        <v>93</v>
      </c>
      <c r="B192" s="255" t="s">
        <v>67</v>
      </c>
      <c r="C192" s="256" t="s">
        <v>46</v>
      </c>
      <c r="D192" s="256" t="s">
        <v>8</v>
      </c>
      <c r="E192" s="256" t="s">
        <v>195</v>
      </c>
      <c r="F192" s="257" t="s">
        <v>129</v>
      </c>
      <c r="G192" s="127"/>
      <c r="H192" s="127"/>
      <c r="I192" s="270">
        <f>90.8+61.6-61.6</f>
        <v>90.80000000000001</v>
      </c>
      <c r="J192" s="322">
        <v>90.8</v>
      </c>
      <c r="K192" s="263">
        <f t="shared" si="10"/>
        <v>99.99999999999999</v>
      </c>
    </row>
    <row r="193" spans="1:11" ht="33" customHeight="1">
      <c r="A193" s="226" t="s">
        <v>318</v>
      </c>
      <c r="B193" s="255" t="s">
        <v>67</v>
      </c>
      <c r="C193" s="256" t="s">
        <v>46</v>
      </c>
      <c r="D193" s="256" t="s">
        <v>8</v>
      </c>
      <c r="E193" s="256" t="s">
        <v>317</v>
      </c>
      <c r="F193" s="257" t="s">
        <v>7</v>
      </c>
      <c r="G193" s="127"/>
      <c r="H193" s="127"/>
      <c r="I193" s="270">
        <f>I194</f>
        <v>90.6</v>
      </c>
      <c r="J193" s="270">
        <f>J194</f>
        <v>90.6</v>
      </c>
      <c r="K193" s="263">
        <f t="shared" si="10"/>
        <v>100</v>
      </c>
    </row>
    <row r="194" spans="1:11" ht="33" customHeight="1">
      <c r="A194" s="121" t="s">
        <v>142</v>
      </c>
      <c r="B194" s="255" t="s">
        <v>67</v>
      </c>
      <c r="C194" s="256" t="s">
        <v>46</v>
      </c>
      <c r="D194" s="256" t="s">
        <v>8</v>
      </c>
      <c r="E194" s="256" t="s">
        <v>317</v>
      </c>
      <c r="F194" s="257" t="s">
        <v>129</v>
      </c>
      <c r="G194" s="127"/>
      <c r="H194" s="127"/>
      <c r="I194" s="270">
        <v>90.6</v>
      </c>
      <c r="J194" s="322">
        <v>90.6</v>
      </c>
      <c r="K194" s="263">
        <f t="shared" si="10"/>
        <v>100</v>
      </c>
    </row>
    <row r="195" spans="1:11" ht="27.75" customHeight="1">
      <c r="A195" s="5" t="s">
        <v>70</v>
      </c>
      <c r="B195" s="172" t="s">
        <v>67</v>
      </c>
      <c r="C195" s="173" t="s">
        <v>46</v>
      </c>
      <c r="D195" s="173" t="s">
        <v>8</v>
      </c>
      <c r="E195" s="173" t="s">
        <v>71</v>
      </c>
      <c r="F195" s="173" t="s">
        <v>7</v>
      </c>
      <c r="G195" s="74" t="e">
        <f>#REF!</f>
        <v>#REF!</v>
      </c>
      <c r="H195" s="74" t="e">
        <f>#REF!</f>
        <v>#REF!</v>
      </c>
      <c r="I195" s="264">
        <f>I196+I197</f>
        <v>2258.5</v>
      </c>
      <c r="J195" s="264">
        <f>J196+J197</f>
        <v>2170.7999999999997</v>
      </c>
      <c r="K195" s="263">
        <f t="shared" si="10"/>
        <v>96.11689174230683</v>
      </c>
    </row>
    <row r="196" spans="1:11" ht="30.75" customHeight="1">
      <c r="A196" s="230" t="s">
        <v>273</v>
      </c>
      <c r="B196" s="342" t="s">
        <v>67</v>
      </c>
      <c r="C196" s="257" t="s">
        <v>46</v>
      </c>
      <c r="D196" s="257" t="s">
        <v>8</v>
      </c>
      <c r="E196" s="257" t="s">
        <v>71</v>
      </c>
      <c r="F196" s="257" t="s">
        <v>274</v>
      </c>
      <c r="G196" s="127"/>
      <c r="H196" s="127"/>
      <c r="I196" s="270">
        <f>51-29</f>
        <v>22</v>
      </c>
      <c r="J196" s="322">
        <v>14.6</v>
      </c>
      <c r="K196" s="263">
        <f t="shared" si="10"/>
        <v>66.36363636363636</v>
      </c>
    </row>
    <row r="197" spans="1:11" ht="58.5" customHeight="1">
      <c r="A197" s="228" t="s">
        <v>145</v>
      </c>
      <c r="B197" s="342" t="s">
        <v>67</v>
      </c>
      <c r="C197" s="257" t="s">
        <v>46</v>
      </c>
      <c r="D197" s="257" t="s">
        <v>8</v>
      </c>
      <c r="E197" s="257" t="s">
        <v>71</v>
      </c>
      <c r="F197" s="257" t="s">
        <v>141</v>
      </c>
      <c r="G197" s="127"/>
      <c r="H197" s="127"/>
      <c r="I197" s="270">
        <v>2236.5</v>
      </c>
      <c r="J197" s="322">
        <v>2156.2</v>
      </c>
      <c r="K197" s="263">
        <f t="shared" si="10"/>
        <v>96.40956852224457</v>
      </c>
    </row>
    <row r="198" spans="1:11" ht="22.5" customHeight="1">
      <c r="A198" s="6" t="s">
        <v>95</v>
      </c>
      <c r="B198" s="172" t="s">
        <v>67</v>
      </c>
      <c r="C198" s="173" t="s">
        <v>46</v>
      </c>
      <c r="D198" s="173" t="s">
        <v>8</v>
      </c>
      <c r="E198" s="173" t="s">
        <v>96</v>
      </c>
      <c r="F198" s="173" t="s">
        <v>7</v>
      </c>
      <c r="G198" s="74" t="e">
        <f>G199</f>
        <v>#REF!</v>
      </c>
      <c r="H198" s="75" t="e">
        <f>H199</f>
        <v>#REF!</v>
      </c>
      <c r="I198" s="263">
        <f>I199</f>
        <v>290</v>
      </c>
      <c r="J198" s="263">
        <f>J199</f>
        <v>288.1</v>
      </c>
      <c r="K198" s="263">
        <f t="shared" si="10"/>
        <v>99.3448275862069</v>
      </c>
    </row>
    <row r="199" spans="1:11" ht="27.75" customHeight="1">
      <c r="A199" s="4" t="s">
        <v>20</v>
      </c>
      <c r="B199" s="172" t="s">
        <v>67</v>
      </c>
      <c r="C199" s="173" t="s">
        <v>46</v>
      </c>
      <c r="D199" s="173" t="s">
        <v>8</v>
      </c>
      <c r="E199" s="173" t="s">
        <v>261</v>
      </c>
      <c r="F199" s="173" t="s">
        <v>7</v>
      </c>
      <c r="G199" s="74" t="e">
        <f>#REF!</f>
        <v>#REF!</v>
      </c>
      <c r="H199" s="74" t="e">
        <f>#REF!</f>
        <v>#REF!</v>
      </c>
      <c r="I199" s="264">
        <f>I200+I201+I202</f>
        <v>290</v>
      </c>
      <c r="J199" s="264">
        <f>J200+J201+J202</f>
        <v>288.1</v>
      </c>
      <c r="K199" s="263">
        <f t="shared" si="10"/>
        <v>99.3448275862069</v>
      </c>
    </row>
    <row r="200" spans="1:11" ht="22.5" customHeight="1">
      <c r="A200" s="212" t="s">
        <v>133</v>
      </c>
      <c r="B200" s="172" t="s">
        <v>67</v>
      </c>
      <c r="C200" s="173" t="s">
        <v>46</v>
      </c>
      <c r="D200" s="173" t="s">
        <v>8</v>
      </c>
      <c r="E200" s="173" t="s">
        <v>261</v>
      </c>
      <c r="F200" s="173" t="s">
        <v>135</v>
      </c>
      <c r="G200" s="74"/>
      <c r="H200" s="74"/>
      <c r="I200" s="264">
        <v>258.2</v>
      </c>
      <c r="J200" s="322">
        <v>258</v>
      </c>
      <c r="K200" s="263">
        <f t="shared" si="10"/>
        <v>99.92254066615027</v>
      </c>
    </row>
    <row r="201" spans="1:11" ht="31.5" customHeight="1">
      <c r="A201" s="121" t="s">
        <v>142</v>
      </c>
      <c r="B201" s="172" t="s">
        <v>67</v>
      </c>
      <c r="C201" s="173" t="s">
        <v>46</v>
      </c>
      <c r="D201" s="173" t="s">
        <v>8</v>
      </c>
      <c r="E201" s="173" t="s">
        <v>261</v>
      </c>
      <c r="F201" s="173" t="s">
        <v>129</v>
      </c>
      <c r="G201" s="74"/>
      <c r="H201" s="74"/>
      <c r="I201" s="264">
        <v>28.3</v>
      </c>
      <c r="J201" s="322">
        <v>27.1</v>
      </c>
      <c r="K201" s="263">
        <f t="shared" si="10"/>
        <v>95.75971731448763</v>
      </c>
    </row>
    <row r="202" spans="1:11" ht="32.25" customHeight="1">
      <c r="A202" s="212" t="s">
        <v>138</v>
      </c>
      <c r="B202" s="172" t="s">
        <v>67</v>
      </c>
      <c r="C202" s="173" t="s">
        <v>46</v>
      </c>
      <c r="D202" s="173" t="s">
        <v>8</v>
      </c>
      <c r="E202" s="173" t="s">
        <v>261</v>
      </c>
      <c r="F202" s="173" t="s">
        <v>137</v>
      </c>
      <c r="G202" s="74"/>
      <c r="H202" s="74"/>
      <c r="I202" s="264">
        <v>3.5</v>
      </c>
      <c r="J202" s="322">
        <v>3</v>
      </c>
      <c r="K202" s="263">
        <f t="shared" si="10"/>
        <v>85.71428571428571</v>
      </c>
    </row>
    <row r="203" spans="1:11" ht="19.5" customHeight="1">
      <c r="A203" s="6" t="s">
        <v>48</v>
      </c>
      <c r="B203" s="172" t="s">
        <v>67</v>
      </c>
      <c r="C203" s="173" t="s">
        <v>46</v>
      </c>
      <c r="D203" s="173" t="s">
        <v>8</v>
      </c>
      <c r="E203" s="173" t="s">
        <v>294</v>
      </c>
      <c r="F203" s="173" t="s">
        <v>44</v>
      </c>
      <c r="G203" s="74">
        <f>G204+G213</f>
        <v>0</v>
      </c>
      <c r="H203" s="75">
        <f>H204</f>
        <v>0</v>
      </c>
      <c r="I203" s="263">
        <f>I204+I212</f>
        <v>2832.3</v>
      </c>
      <c r="J203" s="263">
        <f>J204+J212</f>
        <v>2814.8</v>
      </c>
      <c r="K203" s="263">
        <f t="shared" si="10"/>
        <v>99.38212759947746</v>
      </c>
    </row>
    <row r="204" spans="1:11" ht="29.25" customHeight="1">
      <c r="A204" s="4" t="s">
        <v>70</v>
      </c>
      <c r="B204" s="172" t="s">
        <v>67</v>
      </c>
      <c r="C204" s="173" t="s">
        <v>46</v>
      </c>
      <c r="D204" s="173" t="s">
        <v>8</v>
      </c>
      <c r="E204" s="173" t="s">
        <v>72</v>
      </c>
      <c r="F204" s="173" t="s">
        <v>7</v>
      </c>
      <c r="G204" s="74">
        <f>G212</f>
        <v>0</v>
      </c>
      <c r="H204" s="74">
        <f>H212</f>
        <v>0</v>
      </c>
      <c r="I204" s="264">
        <f>I205+I206+I207+I208+I209+I210</f>
        <v>1311.5</v>
      </c>
      <c r="J204" s="264">
        <f>J205+J206+J207+J208+J209+J210</f>
        <v>1311</v>
      </c>
      <c r="K204" s="263">
        <f t="shared" si="10"/>
        <v>99.96187571483036</v>
      </c>
    </row>
    <row r="205" spans="1:11" ht="21" customHeight="1">
      <c r="A205" s="212" t="s">
        <v>133</v>
      </c>
      <c r="B205" s="172" t="s">
        <v>67</v>
      </c>
      <c r="C205" s="173" t="s">
        <v>46</v>
      </c>
      <c r="D205" s="173" t="s">
        <v>8</v>
      </c>
      <c r="E205" s="173" t="s">
        <v>72</v>
      </c>
      <c r="F205" s="173" t="s">
        <v>135</v>
      </c>
      <c r="G205" s="74"/>
      <c r="H205" s="74"/>
      <c r="I205" s="264">
        <v>985.8</v>
      </c>
      <c r="J205" s="322">
        <v>985.3</v>
      </c>
      <c r="K205" s="263">
        <f t="shared" si="10"/>
        <v>99.94927977277338</v>
      </c>
    </row>
    <row r="206" spans="1:11" ht="30" customHeight="1">
      <c r="A206" s="121" t="s">
        <v>132</v>
      </c>
      <c r="B206" s="172" t="s">
        <v>67</v>
      </c>
      <c r="C206" s="173" t="s">
        <v>46</v>
      </c>
      <c r="D206" s="173" t="s">
        <v>8</v>
      </c>
      <c r="E206" s="173" t="s">
        <v>72</v>
      </c>
      <c r="F206" s="173" t="s">
        <v>136</v>
      </c>
      <c r="G206" s="74"/>
      <c r="H206" s="74"/>
      <c r="I206" s="264">
        <v>4</v>
      </c>
      <c r="J206" s="322">
        <v>4</v>
      </c>
      <c r="K206" s="263">
        <f t="shared" si="10"/>
        <v>100</v>
      </c>
    </row>
    <row r="207" spans="1:11" ht="31.5" customHeight="1">
      <c r="A207" s="121" t="s">
        <v>142</v>
      </c>
      <c r="B207" s="172" t="s">
        <v>67</v>
      </c>
      <c r="C207" s="173" t="s">
        <v>46</v>
      </c>
      <c r="D207" s="173" t="s">
        <v>8</v>
      </c>
      <c r="E207" s="173" t="s">
        <v>72</v>
      </c>
      <c r="F207" s="173" t="s">
        <v>129</v>
      </c>
      <c r="G207" s="74"/>
      <c r="H207" s="74"/>
      <c r="I207" s="264">
        <v>281.9</v>
      </c>
      <c r="J207" s="322">
        <v>281.9</v>
      </c>
      <c r="K207" s="263">
        <f t="shared" si="10"/>
        <v>100</v>
      </c>
    </row>
    <row r="208" spans="1:11" ht="31.5" customHeight="1">
      <c r="A208" s="204" t="s">
        <v>273</v>
      </c>
      <c r="B208" s="172" t="s">
        <v>67</v>
      </c>
      <c r="C208" s="173" t="s">
        <v>46</v>
      </c>
      <c r="D208" s="173" t="s">
        <v>8</v>
      </c>
      <c r="E208" s="173" t="s">
        <v>72</v>
      </c>
      <c r="F208" s="173" t="s">
        <v>274</v>
      </c>
      <c r="G208" s="74"/>
      <c r="H208" s="74"/>
      <c r="I208" s="264">
        <v>20.2</v>
      </c>
      <c r="J208" s="322">
        <v>20.2</v>
      </c>
      <c r="K208" s="263">
        <f t="shared" si="10"/>
        <v>100</v>
      </c>
    </row>
    <row r="209" spans="1:11" ht="29.25" customHeight="1">
      <c r="A209" s="212" t="s">
        <v>131</v>
      </c>
      <c r="B209" s="166" t="s">
        <v>67</v>
      </c>
      <c r="C209" s="101" t="s">
        <v>46</v>
      </c>
      <c r="D209" s="101" t="s">
        <v>8</v>
      </c>
      <c r="E209" s="101" t="s">
        <v>72</v>
      </c>
      <c r="F209" s="173" t="s">
        <v>130</v>
      </c>
      <c r="G209" s="74"/>
      <c r="H209" s="74"/>
      <c r="I209" s="264">
        <v>10.2</v>
      </c>
      <c r="J209" s="322">
        <v>10.2</v>
      </c>
      <c r="K209" s="263">
        <f aca="true" t="shared" si="15" ref="K209:K272">J209/I209*100</f>
        <v>100</v>
      </c>
    </row>
    <row r="210" spans="1:11" ht="29.25" customHeight="1">
      <c r="A210" s="212" t="s">
        <v>138</v>
      </c>
      <c r="B210" s="166" t="s">
        <v>67</v>
      </c>
      <c r="C210" s="101" t="s">
        <v>46</v>
      </c>
      <c r="D210" s="101" t="s">
        <v>8</v>
      </c>
      <c r="E210" s="101" t="s">
        <v>72</v>
      </c>
      <c r="F210" s="173" t="s">
        <v>137</v>
      </c>
      <c r="G210" s="74"/>
      <c r="H210" s="74"/>
      <c r="I210" s="264">
        <v>9.4</v>
      </c>
      <c r="J210" s="322">
        <v>9.4</v>
      </c>
      <c r="K210" s="263">
        <f t="shared" si="15"/>
        <v>100</v>
      </c>
    </row>
    <row r="211" spans="1:11" ht="73.5" customHeight="1">
      <c r="A211" s="237" t="s">
        <v>263</v>
      </c>
      <c r="B211" s="166" t="s">
        <v>67</v>
      </c>
      <c r="C211" s="101" t="s">
        <v>46</v>
      </c>
      <c r="D211" s="101" t="s">
        <v>8</v>
      </c>
      <c r="E211" s="101" t="s">
        <v>264</v>
      </c>
      <c r="F211" s="184" t="s">
        <v>7</v>
      </c>
      <c r="G211" s="74"/>
      <c r="H211" s="74"/>
      <c r="I211" s="264">
        <f>I212</f>
        <v>1520.8000000000002</v>
      </c>
      <c r="J211" s="264">
        <f>J212</f>
        <v>1503.8000000000002</v>
      </c>
      <c r="K211" s="263">
        <f t="shared" si="15"/>
        <v>98.88216728037875</v>
      </c>
    </row>
    <row r="212" spans="1:11" ht="48.75" customHeight="1">
      <c r="A212" s="121" t="s">
        <v>150</v>
      </c>
      <c r="B212" s="122" t="s">
        <v>67</v>
      </c>
      <c r="C212" s="7" t="s">
        <v>46</v>
      </c>
      <c r="D212" s="7" t="s">
        <v>8</v>
      </c>
      <c r="E212" s="7" t="s">
        <v>1</v>
      </c>
      <c r="F212" s="101" t="s">
        <v>7</v>
      </c>
      <c r="G212" s="127"/>
      <c r="H212" s="127"/>
      <c r="I212" s="270">
        <f>I213+I214+I215</f>
        <v>1520.8000000000002</v>
      </c>
      <c r="J212" s="270">
        <f>J213+J214+J215</f>
        <v>1503.8000000000002</v>
      </c>
      <c r="K212" s="263">
        <f t="shared" si="15"/>
        <v>98.88216728037875</v>
      </c>
    </row>
    <row r="213" spans="1:11" ht="22.5" customHeight="1">
      <c r="A213" s="212" t="s">
        <v>133</v>
      </c>
      <c r="B213" s="122" t="s">
        <v>67</v>
      </c>
      <c r="C213" s="7" t="s">
        <v>46</v>
      </c>
      <c r="D213" s="7" t="s">
        <v>8</v>
      </c>
      <c r="E213" s="7" t="s">
        <v>1</v>
      </c>
      <c r="F213" s="101" t="s">
        <v>135</v>
      </c>
      <c r="G213" s="128"/>
      <c r="H213" s="128"/>
      <c r="I213" s="267">
        <v>757</v>
      </c>
      <c r="J213" s="319">
        <v>756</v>
      </c>
      <c r="K213" s="263">
        <f t="shared" si="15"/>
        <v>99.8678996036988</v>
      </c>
    </row>
    <row r="214" spans="1:11" ht="32.25" customHeight="1">
      <c r="A214" s="121" t="s">
        <v>142</v>
      </c>
      <c r="B214" s="122" t="s">
        <v>67</v>
      </c>
      <c r="C214" s="7" t="s">
        <v>46</v>
      </c>
      <c r="D214" s="7" t="s">
        <v>8</v>
      </c>
      <c r="E214" s="7" t="s">
        <v>1</v>
      </c>
      <c r="F214" s="101" t="s">
        <v>129</v>
      </c>
      <c r="G214" s="128"/>
      <c r="H214" s="128"/>
      <c r="I214" s="267">
        <v>86.2</v>
      </c>
      <c r="J214" s="319">
        <v>70.2</v>
      </c>
      <c r="K214" s="263">
        <f t="shared" si="15"/>
        <v>81.4385150812065</v>
      </c>
    </row>
    <row r="215" spans="1:11" ht="60.75" customHeight="1">
      <c r="A215" s="228" t="s">
        <v>145</v>
      </c>
      <c r="B215" s="122" t="s">
        <v>67</v>
      </c>
      <c r="C215" s="7" t="s">
        <v>46</v>
      </c>
      <c r="D215" s="7" t="s">
        <v>8</v>
      </c>
      <c r="E215" s="7" t="s">
        <v>1</v>
      </c>
      <c r="F215" s="101" t="s">
        <v>141</v>
      </c>
      <c r="G215" s="128"/>
      <c r="H215" s="128"/>
      <c r="I215" s="267">
        <v>677.6</v>
      </c>
      <c r="J215" s="319">
        <v>677.6</v>
      </c>
      <c r="K215" s="263">
        <f t="shared" si="15"/>
        <v>100</v>
      </c>
    </row>
    <row r="216" spans="1:11" ht="42" customHeight="1">
      <c r="A216" s="280" t="s">
        <v>192</v>
      </c>
      <c r="B216" s="281" t="s">
        <v>67</v>
      </c>
      <c r="C216" s="282" t="s">
        <v>46</v>
      </c>
      <c r="D216" s="282" t="s">
        <v>8</v>
      </c>
      <c r="E216" s="282" t="s">
        <v>230</v>
      </c>
      <c r="F216" s="283" t="s">
        <v>7</v>
      </c>
      <c r="G216" s="284"/>
      <c r="H216" s="284"/>
      <c r="I216" s="285">
        <f>I217</f>
        <v>18</v>
      </c>
      <c r="J216" s="285">
        <f>J217</f>
        <v>18</v>
      </c>
      <c r="K216" s="263">
        <f t="shared" si="15"/>
        <v>100</v>
      </c>
    </row>
    <row r="217" spans="1:14" ht="57" customHeight="1">
      <c r="A217" s="226" t="s">
        <v>193</v>
      </c>
      <c r="B217" s="122" t="s">
        <v>67</v>
      </c>
      <c r="C217" s="7" t="s">
        <v>46</v>
      </c>
      <c r="D217" s="7" t="s">
        <v>8</v>
      </c>
      <c r="E217" s="7" t="s">
        <v>231</v>
      </c>
      <c r="F217" s="101" t="s">
        <v>7</v>
      </c>
      <c r="G217" s="128"/>
      <c r="H217" s="128"/>
      <c r="I217" s="267">
        <f>I218</f>
        <v>18</v>
      </c>
      <c r="J217" s="267">
        <f>J218</f>
        <v>18</v>
      </c>
      <c r="K217" s="263">
        <f t="shared" si="15"/>
        <v>100</v>
      </c>
      <c r="N217" s="176"/>
    </row>
    <row r="218" spans="1:11" ht="30" customHeight="1">
      <c r="A218" s="121" t="s">
        <v>142</v>
      </c>
      <c r="B218" s="122" t="s">
        <v>67</v>
      </c>
      <c r="C218" s="7" t="s">
        <v>46</v>
      </c>
      <c r="D218" s="7" t="s">
        <v>8</v>
      </c>
      <c r="E218" s="7" t="s">
        <v>231</v>
      </c>
      <c r="F218" s="101" t="s">
        <v>129</v>
      </c>
      <c r="G218" s="128"/>
      <c r="H218" s="128"/>
      <c r="I218" s="267">
        <v>18</v>
      </c>
      <c r="J218" s="319">
        <v>18</v>
      </c>
      <c r="K218" s="263">
        <f t="shared" si="15"/>
        <v>100</v>
      </c>
    </row>
    <row r="219" spans="1:11" ht="71.25" customHeight="1">
      <c r="A219" s="204" t="s">
        <v>217</v>
      </c>
      <c r="B219" s="122" t="s">
        <v>67</v>
      </c>
      <c r="C219" s="7" t="s">
        <v>46</v>
      </c>
      <c r="D219" s="7" t="s">
        <v>8</v>
      </c>
      <c r="E219" s="7" t="s">
        <v>220</v>
      </c>
      <c r="F219" s="92" t="s">
        <v>7</v>
      </c>
      <c r="G219" s="128"/>
      <c r="H219" s="128"/>
      <c r="I219" s="267">
        <f>I220</f>
        <v>15</v>
      </c>
      <c r="J219" s="267">
        <f>J220</f>
        <v>15</v>
      </c>
      <c r="K219" s="263">
        <f t="shared" si="15"/>
        <v>100</v>
      </c>
    </row>
    <row r="220" spans="1:11" ht="30.75" customHeight="1">
      <c r="A220" s="121" t="s">
        <v>142</v>
      </c>
      <c r="B220" s="122" t="s">
        <v>67</v>
      </c>
      <c r="C220" s="7" t="s">
        <v>46</v>
      </c>
      <c r="D220" s="7" t="s">
        <v>8</v>
      </c>
      <c r="E220" s="7" t="s">
        <v>220</v>
      </c>
      <c r="F220" s="92" t="s">
        <v>129</v>
      </c>
      <c r="G220" s="128"/>
      <c r="H220" s="128"/>
      <c r="I220" s="267">
        <v>15</v>
      </c>
      <c r="J220" s="319">
        <v>15</v>
      </c>
      <c r="K220" s="263">
        <f t="shared" si="15"/>
        <v>100</v>
      </c>
    </row>
    <row r="221" spans="1:11" ht="29.25" customHeight="1">
      <c r="A221" s="17" t="s">
        <v>121</v>
      </c>
      <c r="B221" s="346" t="s">
        <v>67</v>
      </c>
      <c r="C221" s="21" t="s">
        <v>46</v>
      </c>
      <c r="D221" s="21" t="s">
        <v>15</v>
      </c>
      <c r="E221" s="21" t="s">
        <v>29</v>
      </c>
      <c r="F221" s="21" t="s">
        <v>7</v>
      </c>
      <c r="G221" s="76" t="e">
        <f aca="true" t="shared" si="16" ref="G221:J222">G222</f>
        <v>#REF!</v>
      </c>
      <c r="H221" s="76" t="e">
        <f t="shared" si="16"/>
        <v>#REF!</v>
      </c>
      <c r="I221" s="263">
        <f t="shared" si="16"/>
        <v>519.851</v>
      </c>
      <c r="J221" s="263">
        <f t="shared" si="16"/>
        <v>517</v>
      </c>
      <c r="K221" s="263">
        <f t="shared" si="15"/>
        <v>99.45157362398072</v>
      </c>
    </row>
    <row r="222" spans="1:11" ht="71.25" customHeight="1">
      <c r="A222" s="212" t="s">
        <v>59</v>
      </c>
      <c r="B222" s="172" t="s">
        <v>67</v>
      </c>
      <c r="C222" s="63" t="s">
        <v>46</v>
      </c>
      <c r="D222" s="63" t="s">
        <v>15</v>
      </c>
      <c r="E222" s="63" t="s">
        <v>65</v>
      </c>
      <c r="F222" s="63" t="s">
        <v>7</v>
      </c>
      <c r="G222" s="72" t="e">
        <f t="shared" si="16"/>
        <v>#REF!</v>
      </c>
      <c r="H222" s="72" t="e">
        <f t="shared" si="16"/>
        <v>#REF!</v>
      </c>
      <c r="I222" s="266">
        <f t="shared" si="16"/>
        <v>519.851</v>
      </c>
      <c r="J222" s="266">
        <f t="shared" si="16"/>
        <v>517</v>
      </c>
      <c r="K222" s="263">
        <f t="shared" si="15"/>
        <v>99.45157362398072</v>
      </c>
    </row>
    <row r="223" spans="1:11" ht="16.5" customHeight="1">
      <c r="A223" s="212" t="s">
        <v>18</v>
      </c>
      <c r="B223" s="172" t="s">
        <v>67</v>
      </c>
      <c r="C223" s="63" t="s">
        <v>46</v>
      </c>
      <c r="D223" s="63" t="s">
        <v>15</v>
      </c>
      <c r="E223" s="63" t="s">
        <v>66</v>
      </c>
      <c r="F223" s="63" t="s">
        <v>7</v>
      </c>
      <c r="G223" s="72" t="e">
        <f>#REF!</f>
        <v>#REF!</v>
      </c>
      <c r="H223" s="72" t="e">
        <f>#REF!</f>
        <v>#REF!</v>
      </c>
      <c r="I223" s="266">
        <f>I224+I225+I226+I227</f>
        <v>519.851</v>
      </c>
      <c r="J223" s="266">
        <f>J224+J225+J226+J227</f>
        <v>517</v>
      </c>
      <c r="K223" s="263">
        <f t="shared" si="15"/>
        <v>99.45157362398072</v>
      </c>
    </row>
    <row r="224" spans="1:11" ht="19.5" customHeight="1">
      <c r="A224" s="212" t="s">
        <v>133</v>
      </c>
      <c r="B224" s="172" t="s">
        <v>67</v>
      </c>
      <c r="C224" s="63" t="s">
        <v>46</v>
      </c>
      <c r="D224" s="63" t="s">
        <v>15</v>
      </c>
      <c r="E224" s="63" t="s">
        <v>66</v>
      </c>
      <c r="F224" s="120" t="s">
        <v>127</v>
      </c>
      <c r="G224" s="77"/>
      <c r="H224" s="77"/>
      <c r="I224" s="266">
        <v>475.9</v>
      </c>
      <c r="J224" s="315">
        <v>473.1</v>
      </c>
      <c r="K224" s="263">
        <f t="shared" si="15"/>
        <v>99.41164110107167</v>
      </c>
    </row>
    <row r="225" spans="1:11" ht="27.75" customHeight="1">
      <c r="A225" s="121" t="s">
        <v>142</v>
      </c>
      <c r="B225" s="172" t="s">
        <v>67</v>
      </c>
      <c r="C225" s="63" t="s">
        <v>46</v>
      </c>
      <c r="D225" s="63" t="s">
        <v>15</v>
      </c>
      <c r="E225" s="63" t="s">
        <v>66</v>
      </c>
      <c r="F225" s="120" t="s">
        <v>129</v>
      </c>
      <c r="G225" s="77"/>
      <c r="H225" s="77"/>
      <c r="I225" s="266">
        <v>37.6</v>
      </c>
      <c r="J225" s="315">
        <v>37.5</v>
      </c>
      <c r="K225" s="263">
        <f t="shared" si="15"/>
        <v>99.73404255319149</v>
      </c>
    </row>
    <row r="226" spans="1:11" ht="27" customHeight="1">
      <c r="A226" s="212" t="s">
        <v>131</v>
      </c>
      <c r="B226" s="172" t="s">
        <v>67</v>
      </c>
      <c r="C226" s="63" t="s">
        <v>46</v>
      </c>
      <c r="D226" s="63" t="s">
        <v>15</v>
      </c>
      <c r="E226" s="63" t="s">
        <v>66</v>
      </c>
      <c r="F226" s="120" t="s">
        <v>130</v>
      </c>
      <c r="G226" s="72"/>
      <c r="H226" s="72"/>
      <c r="I226" s="277">
        <v>0.051</v>
      </c>
      <c r="J226" s="315">
        <v>0.1</v>
      </c>
      <c r="K226" s="263">
        <f t="shared" si="15"/>
        <v>196.07843137254903</v>
      </c>
    </row>
    <row r="227" spans="1:11" ht="27.75" customHeight="1">
      <c r="A227" s="212" t="s">
        <v>138</v>
      </c>
      <c r="B227" s="172" t="s">
        <v>67</v>
      </c>
      <c r="C227" s="120" t="s">
        <v>46</v>
      </c>
      <c r="D227" s="120" t="s">
        <v>15</v>
      </c>
      <c r="E227" s="120" t="s">
        <v>66</v>
      </c>
      <c r="F227" s="120" t="s">
        <v>137</v>
      </c>
      <c r="G227" s="72"/>
      <c r="H227" s="72"/>
      <c r="I227" s="277">
        <v>6.3</v>
      </c>
      <c r="J227" s="315">
        <v>6.3</v>
      </c>
      <c r="K227" s="263">
        <f t="shared" si="15"/>
        <v>100</v>
      </c>
    </row>
    <row r="228" spans="1:11" ht="45.75" customHeight="1">
      <c r="A228" s="205" t="s">
        <v>106</v>
      </c>
      <c r="B228" s="347" t="s">
        <v>77</v>
      </c>
      <c r="C228" s="130" t="s">
        <v>16</v>
      </c>
      <c r="D228" s="130" t="s">
        <v>16</v>
      </c>
      <c r="E228" s="130" t="s">
        <v>29</v>
      </c>
      <c r="F228" s="130" t="s">
        <v>7</v>
      </c>
      <c r="G228" s="136" t="e">
        <f>G229+#REF!+#REF!</f>
        <v>#REF!</v>
      </c>
      <c r="H228" s="136">
        <v>35429</v>
      </c>
      <c r="I228" s="263">
        <f>I229+I361</f>
        <v>132452.89999999997</v>
      </c>
      <c r="J228" s="263">
        <f>J229+J361</f>
        <v>131387.9</v>
      </c>
      <c r="K228" s="263">
        <f t="shared" si="15"/>
        <v>99.19594059473219</v>
      </c>
    </row>
    <row r="229" spans="1:11" ht="16.5" customHeight="1">
      <c r="A229" s="217" t="s">
        <v>12</v>
      </c>
      <c r="B229" s="348" t="s">
        <v>77</v>
      </c>
      <c r="C229" s="15" t="s">
        <v>11</v>
      </c>
      <c r="D229" s="15" t="s">
        <v>26</v>
      </c>
      <c r="E229" s="15" t="s">
        <v>29</v>
      </c>
      <c r="F229" s="15" t="s">
        <v>7</v>
      </c>
      <c r="G229" s="68" t="e">
        <f>G230+G250+G311+#REF!</f>
        <v>#REF!</v>
      </c>
      <c r="H229" s="68" t="e">
        <f>H230+H250+H311+#REF!</f>
        <v>#REF!</v>
      </c>
      <c r="I229" s="263">
        <f>I230+I250+I302+I311</f>
        <v>117397.09999999998</v>
      </c>
      <c r="J229" s="263">
        <f>J230+J250+J302+J311</f>
        <v>116352.7</v>
      </c>
      <c r="K229" s="263">
        <f t="shared" si="15"/>
        <v>99.11036984729607</v>
      </c>
    </row>
    <row r="230" spans="1:11" ht="18.75" customHeight="1">
      <c r="A230" s="222" t="s">
        <v>35</v>
      </c>
      <c r="B230" s="348" t="s">
        <v>77</v>
      </c>
      <c r="C230" s="15" t="s">
        <v>11</v>
      </c>
      <c r="D230" s="15" t="s">
        <v>8</v>
      </c>
      <c r="E230" s="15" t="s">
        <v>29</v>
      </c>
      <c r="F230" s="15" t="s">
        <v>7</v>
      </c>
      <c r="G230" s="76" t="e">
        <f>G231</f>
        <v>#REF!</v>
      </c>
      <c r="H230" s="76" t="e">
        <f>H231</f>
        <v>#REF!</v>
      </c>
      <c r="I230" s="263">
        <f>I231+I240+I244</f>
        <v>21502.9</v>
      </c>
      <c r="J230" s="263">
        <f>J231+J240+J244</f>
        <v>21329.8</v>
      </c>
      <c r="K230" s="263">
        <f t="shared" si="15"/>
        <v>99.19499230336373</v>
      </c>
    </row>
    <row r="231" spans="1:11" ht="17.25" customHeight="1">
      <c r="A231" s="222" t="s">
        <v>36</v>
      </c>
      <c r="B231" s="348" t="s">
        <v>77</v>
      </c>
      <c r="C231" s="15" t="s">
        <v>11</v>
      </c>
      <c r="D231" s="15" t="s">
        <v>8</v>
      </c>
      <c r="E231" s="15" t="s">
        <v>37</v>
      </c>
      <c r="F231" s="15" t="s">
        <v>7</v>
      </c>
      <c r="G231" s="44" t="e">
        <f>G232+#REF!</f>
        <v>#REF!</v>
      </c>
      <c r="H231" s="44" t="e">
        <f>H232+#REF!</f>
        <v>#REF!</v>
      </c>
      <c r="I231" s="263">
        <f>I232</f>
        <v>7940.8</v>
      </c>
      <c r="J231" s="263">
        <f>J232</f>
        <v>7812.9</v>
      </c>
      <c r="K231" s="263">
        <f t="shared" si="15"/>
        <v>98.38933104976829</v>
      </c>
    </row>
    <row r="232" spans="1:11" ht="30.75" customHeight="1">
      <c r="A232" s="16" t="s">
        <v>20</v>
      </c>
      <c r="B232" s="306" t="s">
        <v>77</v>
      </c>
      <c r="C232" s="32" t="s">
        <v>11</v>
      </c>
      <c r="D232" s="32" t="s">
        <v>8</v>
      </c>
      <c r="E232" s="32" t="s">
        <v>78</v>
      </c>
      <c r="F232" s="32" t="s">
        <v>7</v>
      </c>
      <c r="G232" s="48">
        <f>G233</f>
        <v>0</v>
      </c>
      <c r="H232" s="48">
        <f>H233</f>
        <v>14355.6</v>
      </c>
      <c r="I232" s="264">
        <f>I233+I234+I235+I236+I237+I238</f>
        <v>7940.8</v>
      </c>
      <c r="J232" s="264">
        <f>J233+J234+J235+J236+J237+J238</f>
        <v>7812.9</v>
      </c>
      <c r="K232" s="263">
        <f t="shared" si="15"/>
        <v>98.38933104976829</v>
      </c>
    </row>
    <row r="233" spans="1:11" ht="21.75" customHeight="1">
      <c r="A233" s="212" t="s">
        <v>133</v>
      </c>
      <c r="B233" s="306" t="s">
        <v>77</v>
      </c>
      <c r="C233" s="32" t="s">
        <v>11</v>
      </c>
      <c r="D233" s="32" t="s">
        <v>8</v>
      </c>
      <c r="E233" s="32" t="s">
        <v>78</v>
      </c>
      <c r="F233" s="94" t="s">
        <v>135</v>
      </c>
      <c r="G233" s="48"/>
      <c r="H233" s="48">
        <v>14355.6</v>
      </c>
      <c r="I233" s="264">
        <v>1515.6</v>
      </c>
      <c r="J233" s="322">
        <v>1505.1</v>
      </c>
      <c r="K233" s="263">
        <f t="shared" si="15"/>
        <v>99.30720506730007</v>
      </c>
    </row>
    <row r="234" spans="1:11" ht="28.5" customHeight="1">
      <c r="A234" s="121" t="s">
        <v>132</v>
      </c>
      <c r="B234" s="306" t="s">
        <v>77</v>
      </c>
      <c r="C234" s="32" t="s">
        <v>11</v>
      </c>
      <c r="D234" s="32" t="s">
        <v>8</v>
      </c>
      <c r="E234" s="32" t="s">
        <v>78</v>
      </c>
      <c r="F234" s="94" t="s">
        <v>136</v>
      </c>
      <c r="G234" s="48"/>
      <c r="H234" s="48"/>
      <c r="I234" s="264">
        <v>8</v>
      </c>
      <c r="J234" s="322">
        <v>8</v>
      </c>
      <c r="K234" s="263">
        <f t="shared" si="15"/>
        <v>100</v>
      </c>
    </row>
    <row r="235" spans="1:11" ht="34.5" customHeight="1">
      <c r="A235" s="121" t="s">
        <v>142</v>
      </c>
      <c r="B235" s="306" t="s">
        <v>77</v>
      </c>
      <c r="C235" s="32" t="s">
        <v>11</v>
      </c>
      <c r="D235" s="32" t="s">
        <v>8</v>
      </c>
      <c r="E235" s="32" t="s">
        <v>78</v>
      </c>
      <c r="F235" s="94" t="s">
        <v>129</v>
      </c>
      <c r="G235" s="48"/>
      <c r="H235" s="48"/>
      <c r="I235" s="264">
        <v>1271.6</v>
      </c>
      <c r="J235" s="322">
        <v>1174.6</v>
      </c>
      <c r="K235" s="263">
        <f t="shared" si="15"/>
        <v>92.3718150361749</v>
      </c>
    </row>
    <row r="236" spans="1:11" ht="57.75" customHeight="1">
      <c r="A236" s="121" t="s">
        <v>145</v>
      </c>
      <c r="B236" s="306" t="s">
        <v>77</v>
      </c>
      <c r="C236" s="32" t="s">
        <v>11</v>
      </c>
      <c r="D236" s="32" t="s">
        <v>8</v>
      </c>
      <c r="E236" s="32" t="s">
        <v>78</v>
      </c>
      <c r="F236" s="94" t="s">
        <v>141</v>
      </c>
      <c r="G236" s="48"/>
      <c r="H236" s="48"/>
      <c r="I236" s="264">
        <v>5027.8</v>
      </c>
      <c r="J236" s="322">
        <v>5007.6</v>
      </c>
      <c r="K236" s="263">
        <f t="shared" si="15"/>
        <v>99.59823381996102</v>
      </c>
    </row>
    <row r="237" spans="1:11" ht="29.25" customHeight="1">
      <c r="A237" s="212" t="s">
        <v>131</v>
      </c>
      <c r="B237" s="306" t="s">
        <v>77</v>
      </c>
      <c r="C237" s="32" t="s">
        <v>11</v>
      </c>
      <c r="D237" s="32" t="s">
        <v>8</v>
      </c>
      <c r="E237" s="32" t="s">
        <v>78</v>
      </c>
      <c r="F237" s="120" t="s">
        <v>130</v>
      </c>
      <c r="G237" s="48"/>
      <c r="H237" s="48"/>
      <c r="I237" s="264">
        <v>113</v>
      </c>
      <c r="J237" s="322">
        <v>112.9</v>
      </c>
      <c r="K237" s="263">
        <f t="shared" si="15"/>
        <v>99.91150442477877</v>
      </c>
    </row>
    <row r="238" spans="1:11" ht="27" customHeight="1">
      <c r="A238" s="212" t="s">
        <v>138</v>
      </c>
      <c r="B238" s="306" t="s">
        <v>77</v>
      </c>
      <c r="C238" s="98" t="s">
        <v>11</v>
      </c>
      <c r="D238" s="98" t="s">
        <v>8</v>
      </c>
      <c r="E238" s="98" t="s">
        <v>78</v>
      </c>
      <c r="F238" s="120" t="s">
        <v>137</v>
      </c>
      <c r="G238" s="48"/>
      <c r="H238" s="48"/>
      <c r="I238" s="264">
        <v>4.8</v>
      </c>
      <c r="J238" s="322">
        <v>4.7</v>
      </c>
      <c r="K238" s="263">
        <f t="shared" si="15"/>
        <v>97.91666666666667</v>
      </c>
    </row>
    <row r="239" spans="1:11" ht="71.25" customHeight="1">
      <c r="A239" s="212" t="s">
        <v>263</v>
      </c>
      <c r="B239" s="306" t="s">
        <v>77</v>
      </c>
      <c r="C239" s="98" t="s">
        <v>11</v>
      </c>
      <c r="D239" s="98" t="s">
        <v>8</v>
      </c>
      <c r="E239" s="98" t="s">
        <v>264</v>
      </c>
      <c r="F239" s="120" t="s">
        <v>7</v>
      </c>
      <c r="G239" s="48"/>
      <c r="H239" s="48"/>
      <c r="I239" s="264">
        <f>I240</f>
        <v>13334.4</v>
      </c>
      <c r="J239" s="264">
        <f>J240</f>
        <v>13289.2</v>
      </c>
      <c r="K239" s="263">
        <f t="shared" si="15"/>
        <v>99.66102711783059</v>
      </c>
    </row>
    <row r="240" spans="1:11" ht="47.25" customHeight="1">
      <c r="A240" s="121" t="s">
        <v>150</v>
      </c>
      <c r="B240" s="350">
        <v>574</v>
      </c>
      <c r="C240" s="98" t="s">
        <v>11</v>
      </c>
      <c r="D240" s="98" t="s">
        <v>8</v>
      </c>
      <c r="E240" s="98" t="s">
        <v>1</v>
      </c>
      <c r="F240" s="98" t="s">
        <v>7</v>
      </c>
      <c r="G240" s="48"/>
      <c r="H240" s="48"/>
      <c r="I240" s="264">
        <f>I241+I242+I243</f>
        <v>13334.4</v>
      </c>
      <c r="J240" s="264">
        <f>J241+J242+J243</f>
        <v>13289.2</v>
      </c>
      <c r="K240" s="263">
        <f t="shared" si="15"/>
        <v>99.66102711783059</v>
      </c>
    </row>
    <row r="241" spans="1:11" ht="24.75" customHeight="1">
      <c r="A241" s="212" t="s">
        <v>133</v>
      </c>
      <c r="B241" s="350">
        <v>574</v>
      </c>
      <c r="C241" s="98" t="s">
        <v>11</v>
      </c>
      <c r="D241" s="98" t="s">
        <v>8</v>
      </c>
      <c r="E241" s="98" t="s">
        <v>1</v>
      </c>
      <c r="F241" s="98" t="s">
        <v>135</v>
      </c>
      <c r="G241" s="48"/>
      <c r="H241" s="48"/>
      <c r="I241" s="264">
        <v>2528.9</v>
      </c>
      <c r="J241" s="322">
        <v>2528.9</v>
      </c>
      <c r="K241" s="263">
        <f t="shared" si="15"/>
        <v>100</v>
      </c>
    </row>
    <row r="242" spans="1:11" ht="31.5" customHeight="1">
      <c r="A242" s="121" t="s">
        <v>142</v>
      </c>
      <c r="B242" s="350">
        <v>574</v>
      </c>
      <c r="C242" s="98" t="s">
        <v>11</v>
      </c>
      <c r="D242" s="98" t="s">
        <v>8</v>
      </c>
      <c r="E242" s="98" t="s">
        <v>1</v>
      </c>
      <c r="F242" s="98" t="s">
        <v>129</v>
      </c>
      <c r="G242" s="48"/>
      <c r="H242" s="48"/>
      <c r="I242" s="264">
        <v>122.1</v>
      </c>
      <c r="J242" s="322">
        <v>76.9</v>
      </c>
      <c r="K242" s="263">
        <f t="shared" si="15"/>
        <v>62.98116298116299</v>
      </c>
    </row>
    <row r="243" spans="1:11" ht="59.25" customHeight="1">
      <c r="A243" s="121" t="s">
        <v>145</v>
      </c>
      <c r="B243" s="350">
        <v>574</v>
      </c>
      <c r="C243" s="98" t="s">
        <v>11</v>
      </c>
      <c r="D243" s="98" t="s">
        <v>8</v>
      </c>
      <c r="E243" s="98" t="s">
        <v>1</v>
      </c>
      <c r="F243" s="98" t="s">
        <v>141</v>
      </c>
      <c r="G243" s="48"/>
      <c r="H243" s="48"/>
      <c r="I243" s="264">
        <v>10683.4</v>
      </c>
      <c r="J243" s="322">
        <v>10683.4</v>
      </c>
      <c r="K243" s="263">
        <f t="shared" si="15"/>
        <v>100</v>
      </c>
    </row>
    <row r="244" spans="1:11" ht="121.5" customHeight="1">
      <c r="A244" s="212" t="s">
        <v>158</v>
      </c>
      <c r="B244" s="306" t="s">
        <v>77</v>
      </c>
      <c r="C244" s="98" t="s">
        <v>11</v>
      </c>
      <c r="D244" s="98" t="s">
        <v>8</v>
      </c>
      <c r="E244" s="98" t="s">
        <v>159</v>
      </c>
      <c r="F244" s="120" t="s">
        <v>7</v>
      </c>
      <c r="G244" s="48"/>
      <c r="H244" s="48"/>
      <c r="I244" s="264">
        <f>I245+I248</f>
        <v>227.70000000000002</v>
      </c>
      <c r="J244" s="264">
        <f>J245+J248</f>
        <v>227.70000000000002</v>
      </c>
      <c r="K244" s="263">
        <f t="shared" si="15"/>
        <v>100</v>
      </c>
    </row>
    <row r="245" spans="1:11" ht="63.75" customHeight="1">
      <c r="A245" s="212" t="s">
        <v>183</v>
      </c>
      <c r="B245" s="306" t="s">
        <v>77</v>
      </c>
      <c r="C245" s="98" t="s">
        <v>11</v>
      </c>
      <c r="D245" s="98" t="s">
        <v>8</v>
      </c>
      <c r="E245" s="98" t="s">
        <v>184</v>
      </c>
      <c r="F245" s="120" t="s">
        <v>7</v>
      </c>
      <c r="G245" s="48"/>
      <c r="H245" s="48"/>
      <c r="I245" s="264">
        <f>I246+I247</f>
        <v>207.9</v>
      </c>
      <c r="J245" s="264">
        <f>J246+J247</f>
        <v>207.9</v>
      </c>
      <c r="K245" s="263">
        <f t="shared" si="15"/>
        <v>100</v>
      </c>
    </row>
    <row r="246" spans="1:11" ht="60.75" customHeight="1">
      <c r="A246" s="121" t="s">
        <v>145</v>
      </c>
      <c r="B246" s="306" t="s">
        <v>77</v>
      </c>
      <c r="C246" s="98" t="s">
        <v>11</v>
      </c>
      <c r="D246" s="98" t="s">
        <v>8</v>
      </c>
      <c r="E246" s="98" t="s">
        <v>184</v>
      </c>
      <c r="F246" s="120" t="s">
        <v>141</v>
      </c>
      <c r="G246" s="48"/>
      <c r="H246" s="48"/>
      <c r="I246" s="264">
        <f>44.8-0.7</f>
        <v>44.099999999999994</v>
      </c>
      <c r="J246" s="322">
        <v>44.1</v>
      </c>
      <c r="K246" s="263">
        <f t="shared" si="15"/>
        <v>100.00000000000003</v>
      </c>
    </row>
    <row r="247" spans="1:11" ht="27.75" customHeight="1">
      <c r="A247" s="157" t="s">
        <v>289</v>
      </c>
      <c r="B247" s="306" t="s">
        <v>77</v>
      </c>
      <c r="C247" s="98" t="s">
        <v>11</v>
      </c>
      <c r="D247" s="98" t="s">
        <v>8</v>
      </c>
      <c r="E247" s="98" t="s">
        <v>184</v>
      </c>
      <c r="F247" s="120" t="s">
        <v>290</v>
      </c>
      <c r="G247" s="48"/>
      <c r="H247" s="48"/>
      <c r="I247" s="264">
        <v>163.8</v>
      </c>
      <c r="J247" s="322">
        <v>163.8</v>
      </c>
      <c r="K247" s="263">
        <f t="shared" si="15"/>
        <v>100</v>
      </c>
    </row>
    <row r="248" spans="1:11" ht="72.75" customHeight="1">
      <c r="A248" s="121" t="s">
        <v>214</v>
      </c>
      <c r="B248" s="306" t="s">
        <v>77</v>
      </c>
      <c r="C248" s="98" t="s">
        <v>11</v>
      </c>
      <c r="D248" s="98" t="s">
        <v>8</v>
      </c>
      <c r="E248" s="98" t="s">
        <v>215</v>
      </c>
      <c r="F248" s="120" t="s">
        <v>7</v>
      </c>
      <c r="G248" s="48"/>
      <c r="H248" s="48"/>
      <c r="I248" s="264">
        <f>I249</f>
        <v>19.8</v>
      </c>
      <c r="J248" s="322">
        <v>19.8</v>
      </c>
      <c r="K248" s="263">
        <f t="shared" si="15"/>
        <v>100</v>
      </c>
    </row>
    <row r="249" spans="1:11" ht="27.75" customHeight="1">
      <c r="A249" s="157" t="s">
        <v>289</v>
      </c>
      <c r="B249" s="306" t="s">
        <v>77</v>
      </c>
      <c r="C249" s="98" t="s">
        <v>11</v>
      </c>
      <c r="D249" s="98" t="s">
        <v>8</v>
      </c>
      <c r="E249" s="98" t="s">
        <v>215</v>
      </c>
      <c r="F249" s="120" t="s">
        <v>290</v>
      </c>
      <c r="G249" s="48"/>
      <c r="H249" s="48"/>
      <c r="I249" s="264">
        <f>13.2+3.3+3.3</f>
        <v>19.8</v>
      </c>
      <c r="J249" s="322">
        <v>19.8</v>
      </c>
      <c r="K249" s="263">
        <f t="shared" si="15"/>
        <v>100</v>
      </c>
    </row>
    <row r="250" spans="1:12" ht="22.5" customHeight="1">
      <c r="A250" s="288" t="s">
        <v>13</v>
      </c>
      <c r="B250" s="346" t="s">
        <v>77</v>
      </c>
      <c r="C250" s="29" t="s">
        <v>11</v>
      </c>
      <c r="D250" s="29" t="s">
        <v>10</v>
      </c>
      <c r="E250" s="29" t="s">
        <v>29</v>
      </c>
      <c r="F250" s="29" t="s">
        <v>7</v>
      </c>
      <c r="G250" s="46" t="e">
        <f>G251+G258+#REF!+#REF!+#REF!+#REF!</f>
        <v>#REF!</v>
      </c>
      <c r="H250" s="46" t="e">
        <f>H251+H258+#REF!+#REF!+#REF!+#REF!</f>
        <v>#REF!</v>
      </c>
      <c r="I250" s="263">
        <f>I251+I258+I262+I273+I277+I281+I294</f>
        <v>92606.29999999999</v>
      </c>
      <c r="J250" s="263">
        <f>J251+J258+J262+J273+J277+J281+J294</f>
        <v>91841.7</v>
      </c>
      <c r="K250" s="263">
        <f t="shared" si="15"/>
        <v>99.17435422860001</v>
      </c>
      <c r="L250" s="13"/>
    </row>
    <row r="251" spans="1:11" ht="29.25" customHeight="1">
      <c r="A251" s="17" t="s">
        <v>284</v>
      </c>
      <c r="B251" s="306" t="s">
        <v>77</v>
      </c>
      <c r="C251" s="32" t="s">
        <v>11</v>
      </c>
      <c r="D251" s="32" t="s">
        <v>10</v>
      </c>
      <c r="E251" s="32" t="s">
        <v>38</v>
      </c>
      <c r="F251" s="32" t="s">
        <v>7</v>
      </c>
      <c r="G251" s="48">
        <f>G252</f>
        <v>0</v>
      </c>
      <c r="H251" s="48">
        <f>H252</f>
        <v>16672.2</v>
      </c>
      <c r="I251" s="263">
        <f>I252</f>
        <v>9982.9</v>
      </c>
      <c r="J251" s="263">
        <f>J252</f>
        <v>9700.500000000002</v>
      </c>
      <c r="K251" s="263">
        <f t="shared" si="15"/>
        <v>97.17116268819684</v>
      </c>
    </row>
    <row r="252" spans="1:11" ht="27" customHeight="1">
      <c r="A252" s="14" t="s">
        <v>20</v>
      </c>
      <c r="B252" s="166" t="s">
        <v>77</v>
      </c>
      <c r="C252" s="101" t="s">
        <v>11</v>
      </c>
      <c r="D252" s="101" t="s">
        <v>10</v>
      </c>
      <c r="E252" s="101" t="s">
        <v>79</v>
      </c>
      <c r="F252" s="101" t="s">
        <v>7</v>
      </c>
      <c r="G252" s="74">
        <f>G257</f>
        <v>0</v>
      </c>
      <c r="H252" s="74">
        <f>H257</f>
        <v>16672.2</v>
      </c>
      <c r="I252" s="264">
        <f>I253+I254+I255+I256+I257</f>
        <v>9982.9</v>
      </c>
      <c r="J252" s="264">
        <f>J253+J254+J255+J256+J257</f>
        <v>9700.500000000002</v>
      </c>
      <c r="K252" s="263">
        <f t="shared" si="15"/>
        <v>97.17116268819684</v>
      </c>
    </row>
    <row r="253" spans="1:11" ht="21.75" customHeight="1">
      <c r="A253" s="212" t="s">
        <v>133</v>
      </c>
      <c r="B253" s="166" t="s">
        <v>77</v>
      </c>
      <c r="C253" s="101" t="s">
        <v>11</v>
      </c>
      <c r="D253" s="101" t="s">
        <v>10</v>
      </c>
      <c r="E253" s="101" t="s">
        <v>79</v>
      </c>
      <c r="F253" s="173" t="s">
        <v>135</v>
      </c>
      <c r="G253" s="74"/>
      <c r="H253" s="74"/>
      <c r="I253" s="270">
        <v>2332.3</v>
      </c>
      <c r="J253" s="322">
        <v>2247.8</v>
      </c>
      <c r="K253" s="263">
        <f t="shared" si="15"/>
        <v>96.3769669425031</v>
      </c>
    </row>
    <row r="254" spans="1:11" ht="28.5" customHeight="1">
      <c r="A254" s="121" t="s">
        <v>142</v>
      </c>
      <c r="B254" s="166" t="s">
        <v>77</v>
      </c>
      <c r="C254" s="101" t="s">
        <v>11</v>
      </c>
      <c r="D254" s="101" t="s">
        <v>10</v>
      </c>
      <c r="E254" s="101" t="s">
        <v>79</v>
      </c>
      <c r="F254" s="173" t="s">
        <v>129</v>
      </c>
      <c r="G254" s="74"/>
      <c r="H254" s="74"/>
      <c r="I254" s="264">
        <v>4568.7</v>
      </c>
      <c r="J254" s="322">
        <v>4439.1</v>
      </c>
      <c r="K254" s="263">
        <f t="shared" si="15"/>
        <v>97.16330684877538</v>
      </c>
    </row>
    <row r="255" spans="1:11" ht="63.75" customHeight="1">
      <c r="A255" s="121" t="s">
        <v>145</v>
      </c>
      <c r="B255" s="166" t="s">
        <v>77</v>
      </c>
      <c r="C255" s="101" t="s">
        <v>11</v>
      </c>
      <c r="D255" s="101" t="s">
        <v>10</v>
      </c>
      <c r="E255" s="101" t="s">
        <v>79</v>
      </c>
      <c r="F255" s="173" t="s">
        <v>141</v>
      </c>
      <c r="G255" s="74"/>
      <c r="H255" s="74"/>
      <c r="I255" s="264">
        <v>2664.9</v>
      </c>
      <c r="J255" s="322">
        <v>2605</v>
      </c>
      <c r="K255" s="263">
        <f t="shared" si="15"/>
        <v>97.75226087282824</v>
      </c>
    </row>
    <row r="256" spans="1:11" ht="27.75" customHeight="1">
      <c r="A256" s="212" t="s">
        <v>131</v>
      </c>
      <c r="B256" s="166" t="s">
        <v>77</v>
      </c>
      <c r="C256" s="101" t="s">
        <v>11</v>
      </c>
      <c r="D256" s="101" t="s">
        <v>10</v>
      </c>
      <c r="E256" s="101" t="s">
        <v>79</v>
      </c>
      <c r="F256" s="173" t="s">
        <v>130</v>
      </c>
      <c r="G256" s="74"/>
      <c r="H256" s="74"/>
      <c r="I256" s="270">
        <v>372.4</v>
      </c>
      <c r="J256" s="322">
        <v>372.1</v>
      </c>
      <c r="K256" s="263">
        <f t="shared" si="15"/>
        <v>99.91944146079486</v>
      </c>
    </row>
    <row r="257" spans="1:11" ht="33" customHeight="1">
      <c r="A257" s="212" t="s">
        <v>138</v>
      </c>
      <c r="B257" s="166" t="s">
        <v>77</v>
      </c>
      <c r="C257" s="101" t="s">
        <v>11</v>
      </c>
      <c r="D257" s="101" t="s">
        <v>10</v>
      </c>
      <c r="E257" s="101" t="s">
        <v>79</v>
      </c>
      <c r="F257" s="173" t="s">
        <v>137</v>
      </c>
      <c r="G257" s="74"/>
      <c r="H257" s="74">
        <v>16672.2</v>
      </c>
      <c r="I257" s="264">
        <v>44.6</v>
      </c>
      <c r="J257" s="322">
        <v>36.5</v>
      </c>
      <c r="K257" s="263">
        <f t="shared" si="15"/>
        <v>81.83856502242152</v>
      </c>
    </row>
    <row r="258" spans="1:11" ht="27.75" customHeight="1">
      <c r="A258" s="222" t="s">
        <v>14</v>
      </c>
      <c r="B258" s="349" t="s">
        <v>77</v>
      </c>
      <c r="C258" s="12" t="s">
        <v>11</v>
      </c>
      <c r="D258" s="12" t="s">
        <v>10</v>
      </c>
      <c r="E258" s="12" t="s">
        <v>34</v>
      </c>
      <c r="F258" s="12" t="s">
        <v>7</v>
      </c>
      <c r="G258" s="71" t="e">
        <f>G259</f>
        <v>#REF!</v>
      </c>
      <c r="H258" s="71" t="e">
        <f>H259</f>
        <v>#REF!</v>
      </c>
      <c r="I258" s="263">
        <f>I259</f>
        <v>1511.3</v>
      </c>
      <c r="J258" s="263">
        <f>J259</f>
        <v>1216.8</v>
      </c>
      <c r="K258" s="263">
        <f t="shared" si="15"/>
        <v>80.51346522861112</v>
      </c>
    </row>
    <row r="259" spans="1:11" ht="30.75" customHeight="1">
      <c r="A259" s="157" t="s">
        <v>20</v>
      </c>
      <c r="B259" s="349" t="s">
        <v>77</v>
      </c>
      <c r="C259" s="12" t="s">
        <v>11</v>
      </c>
      <c r="D259" s="12" t="s">
        <v>10</v>
      </c>
      <c r="E259" s="12" t="s">
        <v>68</v>
      </c>
      <c r="F259" s="12" t="s">
        <v>7</v>
      </c>
      <c r="G259" s="78" t="e">
        <f>#REF!</f>
        <v>#REF!</v>
      </c>
      <c r="H259" s="78" t="e">
        <f>#REF!</f>
        <v>#REF!</v>
      </c>
      <c r="I259" s="263">
        <f>I260+I261</f>
        <v>1511.3</v>
      </c>
      <c r="J259" s="263">
        <f>J260+J261</f>
        <v>1216.8</v>
      </c>
      <c r="K259" s="263">
        <f t="shared" si="15"/>
        <v>80.51346522861112</v>
      </c>
    </row>
    <row r="260" spans="1:11" ht="60.75" customHeight="1">
      <c r="A260" s="121" t="s">
        <v>145</v>
      </c>
      <c r="B260" s="349" t="s">
        <v>77</v>
      </c>
      <c r="C260" s="239" t="s">
        <v>11</v>
      </c>
      <c r="D260" s="239" t="s">
        <v>10</v>
      </c>
      <c r="E260" s="239" t="s">
        <v>68</v>
      </c>
      <c r="F260" s="94" t="s">
        <v>141</v>
      </c>
      <c r="G260" s="78"/>
      <c r="H260" s="78"/>
      <c r="I260" s="264">
        <f>1494.1-508.7+143.3+365.4</f>
        <v>1494.1</v>
      </c>
      <c r="J260" s="314">
        <v>1208.8</v>
      </c>
      <c r="K260" s="263">
        <f t="shared" si="15"/>
        <v>80.90489257747139</v>
      </c>
    </row>
    <row r="261" spans="1:11" ht="28.5" customHeight="1">
      <c r="A261" s="157" t="s">
        <v>289</v>
      </c>
      <c r="B261" s="349" t="s">
        <v>77</v>
      </c>
      <c r="C261" s="239" t="s">
        <v>11</v>
      </c>
      <c r="D261" s="239" t="s">
        <v>10</v>
      </c>
      <c r="E261" s="239" t="s">
        <v>313</v>
      </c>
      <c r="F261" s="94" t="s">
        <v>290</v>
      </c>
      <c r="G261" s="78"/>
      <c r="H261" s="78"/>
      <c r="I261" s="264">
        <v>17.2</v>
      </c>
      <c r="J261" s="314">
        <v>8</v>
      </c>
      <c r="K261" s="263">
        <f t="shared" si="15"/>
        <v>46.51162790697674</v>
      </c>
    </row>
    <row r="262" spans="1:11" ht="20.25" customHeight="1">
      <c r="A262" s="222" t="s">
        <v>298</v>
      </c>
      <c r="B262" s="349" t="s">
        <v>77</v>
      </c>
      <c r="C262" s="239" t="s">
        <v>11</v>
      </c>
      <c r="D262" s="239" t="s">
        <v>10</v>
      </c>
      <c r="E262" s="239" t="s">
        <v>297</v>
      </c>
      <c r="F262" s="94" t="s">
        <v>7</v>
      </c>
      <c r="G262" s="78"/>
      <c r="H262" s="78"/>
      <c r="I262" s="264">
        <f>I263+I267</f>
        <v>28349</v>
      </c>
      <c r="J262" s="264">
        <f>J263+J267</f>
        <v>28349</v>
      </c>
      <c r="K262" s="263">
        <f t="shared" si="15"/>
        <v>100</v>
      </c>
    </row>
    <row r="263" spans="1:11" ht="30.75" customHeight="1">
      <c r="A263" s="157" t="s">
        <v>299</v>
      </c>
      <c r="B263" s="349" t="s">
        <v>77</v>
      </c>
      <c r="C263" s="239" t="s">
        <v>11</v>
      </c>
      <c r="D263" s="239" t="s">
        <v>10</v>
      </c>
      <c r="E263" s="239" t="s">
        <v>296</v>
      </c>
      <c r="F263" s="94" t="s">
        <v>7</v>
      </c>
      <c r="G263" s="78"/>
      <c r="H263" s="78"/>
      <c r="I263" s="264">
        <f>I264+I265+I266</f>
        <v>6347.4</v>
      </c>
      <c r="J263" s="264">
        <f>J264+J265+J266</f>
        <v>6347.4</v>
      </c>
      <c r="K263" s="263">
        <f t="shared" si="15"/>
        <v>100</v>
      </c>
    </row>
    <row r="264" spans="1:11" ht="36.75" customHeight="1">
      <c r="A264" s="121" t="s">
        <v>132</v>
      </c>
      <c r="B264" s="349" t="s">
        <v>77</v>
      </c>
      <c r="C264" s="239" t="s">
        <v>11</v>
      </c>
      <c r="D264" s="239" t="s">
        <v>10</v>
      </c>
      <c r="E264" s="239" t="s">
        <v>296</v>
      </c>
      <c r="F264" s="94" t="s">
        <v>136</v>
      </c>
      <c r="G264" s="78"/>
      <c r="H264" s="78"/>
      <c r="I264" s="264">
        <v>1.4</v>
      </c>
      <c r="J264" s="314">
        <v>1.4</v>
      </c>
      <c r="K264" s="263">
        <f t="shared" si="15"/>
        <v>100</v>
      </c>
    </row>
    <row r="265" spans="1:11" ht="31.5" customHeight="1">
      <c r="A265" s="121" t="s">
        <v>142</v>
      </c>
      <c r="B265" s="349" t="s">
        <v>77</v>
      </c>
      <c r="C265" s="239" t="s">
        <v>11</v>
      </c>
      <c r="D265" s="239" t="s">
        <v>10</v>
      </c>
      <c r="E265" s="239" t="s">
        <v>296</v>
      </c>
      <c r="F265" s="94" t="s">
        <v>129</v>
      </c>
      <c r="G265" s="78"/>
      <c r="H265" s="78"/>
      <c r="I265" s="264">
        <v>4798.4</v>
      </c>
      <c r="J265" s="314">
        <v>4798.4</v>
      </c>
      <c r="K265" s="263">
        <f t="shared" si="15"/>
        <v>100</v>
      </c>
    </row>
    <row r="266" spans="1:11" ht="37.5" customHeight="1">
      <c r="A266" s="157" t="s">
        <v>289</v>
      </c>
      <c r="B266" s="349" t="s">
        <v>77</v>
      </c>
      <c r="C266" s="239" t="s">
        <v>11</v>
      </c>
      <c r="D266" s="239" t="s">
        <v>10</v>
      </c>
      <c r="E266" s="239" t="s">
        <v>296</v>
      </c>
      <c r="F266" s="94" t="s">
        <v>290</v>
      </c>
      <c r="G266" s="78"/>
      <c r="H266" s="78"/>
      <c r="I266" s="264">
        <v>1547.6</v>
      </c>
      <c r="J266" s="314">
        <v>1547.6</v>
      </c>
      <c r="K266" s="263">
        <f t="shared" si="15"/>
        <v>100</v>
      </c>
    </row>
    <row r="267" spans="1:11" ht="120" customHeight="1">
      <c r="A267" s="157" t="s">
        <v>321</v>
      </c>
      <c r="B267" s="349" t="s">
        <v>77</v>
      </c>
      <c r="C267" s="239" t="s">
        <v>11</v>
      </c>
      <c r="D267" s="239" t="s">
        <v>10</v>
      </c>
      <c r="E267" s="239" t="s">
        <v>320</v>
      </c>
      <c r="F267" s="94" t="s">
        <v>7</v>
      </c>
      <c r="G267" s="78"/>
      <c r="H267" s="78"/>
      <c r="I267" s="264">
        <f>I268+I269+I270+I271</f>
        <v>22001.6</v>
      </c>
      <c r="J267" s="264">
        <f>J268+J269+J270+J271</f>
        <v>22001.6</v>
      </c>
      <c r="K267" s="263">
        <f t="shared" si="15"/>
        <v>100</v>
      </c>
    </row>
    <row r="268" spans="1:11" ht="25.5" customHeight="1">
      <c r="A268" s="212" t="s">
        <v>133</v>
      </c>
      <c r="B268" s="349" t="s">
        <v>77</v>
      </c>
      <c r="C268" s="239" t="s">
        <v>11</v>
      </c>
      <c r="D268" s="239" t="s">
        <v>10</v>
      </c>
      <c r="E268" s="239" t="s">
        <v>320</v>
      </c>
      <c r="F268" s="156" t="s">
        <v>135</v>
      </c>
      <c r="G268" s="78"/>
      <c r="H268" s="78"/>
      <c r="I268" s="264">
        <v>12928.5</v>
      </c>
      <c r="J268" s="314">
        <v>12928.5</v>
      </c>
      <c r="K268" s="263">
        <f t="shared" si="15"/>
        <v>100</v>
      </c>
    </row>
    <row r="269" spans="1:11" ht="33" customHeight="1">
      <c r="A269" s="121" t="s">
        <v>132</v>
      </c>
      <c r="B269" s="349" t="s">
        <v>77</v>
      </c>
      <c r="C269" s="239" t="s">
        <v>11</v>
      </c>
      <c r="D269" s="239" t="s">
        <v>10</v>
      </c>
      <c r="E269" s="239" t="s">
        <v>320</v>
      </c>
      <c r="F269" s="156" t="s">
        <v>136</v>
      </c>
      <c r="G269" s="78"/>
      <c r="H269" s="78"/>
      <c r="I269" s="264">
        <v>27.8</v>
      </c>
      <c r="J269" s="314">
        <v>27.8</v>
      </c>
      <c r="K269" s="263">
        <f t="shared" si="15"/>
        <v>100</v>
      </c>
    </row>
    <row r="270" spans="1:11" ht="33" customHeight="1">
      <c r="A270" s="121" t="s">
        <v>142</v>
      </c>
      <c r="B270" s="349" t="s">
        <v>77</v>
      </c>
      <c r="C270" s="239" t="s">
        <v>11</v>
      </c>
      <c r="D270" s="239" t="s">
        <v>10</v>
      </c>
      <c r="E270" s="239" t="s">
        <v>320</v>
      </c>
      <c r="F270" s="156" t="s">
        <v>129</v>
      </c>
      <c r="G270" s="78"/>
      <c r="H270" s="78"/>
      <c r="I270" s="264">
        <v>87.3</v>
      </c>
      <c r="J270" s="314">
        <v>87.3</v>
      </c>
      <c r="K270" s="263">
        <f t="shared" si="15"/>
        <v>100</v>
      </c>
    </row>
    <row r="271" spans="1:11" ht="63" customHeight="1">
      <c r="A271" s="121" t="s">
        <v>145</v>
      </c>
      <c r="B271" s="349" t="s">
        <v>77</v>
      </c>
      <c r="C271" s="239" t="s">
        <v>11</v>
      </c>
      <c r="D271" s="239" t="s">
        <v>10</v>
      </c>
      <c r="E271" s="239" t="s">
        <v>320</v>
      </c>
      <c r="F271" s="92" t="s">
        <v>141</v>
      </c>
      <c r="G271" s="78"/>
      <c r="H271" s="78"/>
      <c r="I271" s="264">
        <f>8978-109.2+89.2</f>
        <v>8958</v>
      </c>
      <c r="J271" s="314">
        <v>8958</v>
      </c>
      <c r="K271" s="263">
        <f t="shared" si="15"/>
        <v>100</v>
      </c>
    </row>
    <row r="272" spans="1:11" ht="71.25" customHeight="1">
      <c r="A272" s="14" t="s">
        <v>263</v>
      </c>
      <c r="B272" s="166" t="s">
        <v>77</v>
      </c>
      <c r="C272" s="101" t="s">
        <v>11</v>
      </c>
      <c r="D272" s="101" t="s">
        <v>10</v>
      </c>
      <c r="E272" s="101" t="s">
        <v>264</v>
      </c>
      <c r="F272" s="155" t="s">
        <v>44</v>
      </c>
      <c r="G272" s="80"/>
      <c r="H272" s="80"/>
      <c r="I272" s="264">
        <f>I273</f>
        <v>10574.5</v>
      </c>
      <c r="J272" s="264">
        <f>J273</f>
        <v>10399.6</v>
      </c>
      <c r="K272" s="263">
        <f t="shared" si="15"/>
        <v>98.34602108846754</v>
      </c>
    </row>
    <row r="273" spans="1:11" ht="48" customHeight="1">
      <c r="A273" s="121" t="s">
        <v>150</v>
      </c>
      <c r="B273" s="166" t="s">
        <v>77</v>
      </c>
      <c r="C273" s="101" t="s">
        <v>11</v>
      </c>
      <c r="D273" s="101" t="s">
        <v>10</v>
      </c>
      <c r="E273" s="101" t="s">
        <v>1</v>
      </c>
      <c r="F273" s="155" t="s">
        <v>7</v>
      </c>
      <c r="G273" s="80"/>
      <c r="H273" s="80"/>
      <c r="I273" s="264">
        <f>I274+I275+I276</f>
        <v>10574.5</v>
      </c>
      <c r="J273" s="264">
        <f>J274+J275+J276</f>
        <v>10399.6</v>
      </c>
      <c r="K273" s="263">
        <f aca="true" t="shared" si="17" ref="K273:K336">J273/I273*100</f>
        <v>98.34602108846754</v>
      </c>
    </row>
    <row r="274" spans="1:11" ht="20.25" customHeight="1">
      <c r="A274" s="212" t="s">
        <v>133</v>
      </c>
      <c r="B274" s="166" t="s">
        <v>77</v>
      </c>
      <c r="C274" s="101" t="s">
        <v>11</v>
      </c>
      <c r="D274" s="101" t="s">
        <v>10</v>
      </c>
      <c r="E274" s="101" t="s">
        <v>1</v>
      </c>
      <c r="F274" s="155" t="s">
        <v>135</v>
      </c>
      <c r="G274" s="80"/>
      <c r="H274" s="80"/>
      <c r="I274" s="264">
        <v>2749.9</v>
      </c>
      <c r="J274" s="318">
        <v>2725.5</v>
      </c>
      <c r="K274" s="263">
        <f t="shared" si="17"/>
        <v>99.11269500709116</v>
      </c>
    </row>
    <row r="275" spans="1:11" ht="29.25" customHeight="1">
      <c r="A275" s="121" t="s">
        <v>142</v>
      </c>
      <c r="B275" s="166" t="s">
        <v>77</v>
      </c>
      <c r="C275" s="101" t="s">
        <v>11</v>
      </c>
      <c r="D275" s="101" t="s">
        <v>10</v>
      </c>
      <c r="E275" s="101" t="s">
        <v>1</v>
      </c>
      <c r="F275" s="155" t="s">
        <v>129</v>
      </c>
      <c r="G275" s="80"/>
      <c r="H275" s="80"/>
      <c r="I275" s="264">
        <v>2458.6</v>
      </c>
      <c r="J275" s="318">
        <v>2365.6</v>
      </c>
      <c r="K275" s="263">
        <f t="shared" si="17"/>
        <v>96.21735947287074</v>
      </c>
    </row>
    <row r="276" spans="1:11" ht="60" customHeight="1">
      <c r="A276" s="121" t="s">
        <v>145</v>
      </c>
      <c r="B276" s="166" t="s">
        <v>77</v>
      </c>
      <c r="C276" s="101" t="s">
        <v>11</v>
      </c>
      <c r="D276" s="101" t="s">
        <v>10</v>
      </c>
      <c r="E276" s="101" t="s">
        <v>1</v>
      </c>
      <c r="F276" s="155" t="s">
        <v>141</v>
      </c>
      <c r="G276" s="80"/>
      <c r="H276" s="80"/>
      <c r="I276" s="264">
        <v>5366</v>
      </c>
      <c r="J276" s="318">
        <v>5308.5</v>
      </c>
      <c r="K276" s="263">
        <f t="shared" si="17"/>
        <v>98.92843831531867</v>
      </c>
    </row>
    <row r="277" spans="1:11" ht="32.25" customHeight="1">
      <c r="A277" s="6" t="s">
        <v>53</v>
      </c>
      <c r="B277" s="351" t="s">
        <v>77</v>
      </c>
      <c r="C277" s="352" t="s">
        <v>11</v>
      </c>
      <c r="D277" s="352" t="s">
        <v>10</v>
      </c>
      <c r="E277" s="352" t="s">
        <v>52</v>
      </c>
      <c r="F277" s="95" t="s">
        <v>7</v>
      </c>
      <c r="G277" s="72">
        <f>G278</f>
        <v>364.3</v>
      </c>
      <c r="H277" s="72"/>
      <c r="I277" s="263">
        <f>I278</f>
        <v>979.8</v>
      </c>
      <c r="J277" s="263">
        <f>J278</f>
        <v>976.3</v>
      </c>
      <c r="K277" s="263">
        <f t="shared" si="17"/>
        <v>99.64278424168198</v>
      </c>
    </row>
    <row r="278" spans="1:11" ht="26.25" customHeight="1">
      <c r="A278" s="5" t="s">
        <v>213</v>
      </c>
      <c r="B278" s="172" t="s">
        <v>77</v>
      </c>
      <c r="C278" s="173" t="s">
        <v>11</v>
      </c>
      <c r="D278" s="173" t="s">
        <v>10</v>
      </c>
      <c r="E278" s="173" t="s">
        <v>81</v>
      </c>
      <c r="F278" s="156" t="s">
        <v>7</v>
      </c>
      <c r="G278" s="79">
        <f>G279</f>
        <v>364.3</v>
      </c>
      <c r="H278" s="79"/>
      <c r="I278" s="264">
        <f>I279+I280</f>
        <v>979.8</v>
      </c>
      <c r="J278" s="264">
        <f>J279+J280</f>
        <v>976.3</v>
      </c>
      <c r="K278" s="263">
        <f t="shared" si="17"/>
        <v>99.64278424168198</v>
      </c>
    </row>
    <row r="279" spans="1:11" ht="24.75" customHeight="1">
      <c r="A279" s="212" t="s">
        <v>133</v>
      </c>
      <c r="B279" s="172" t="s">
        <v>77</v>
      </c>
      <c r="C279" s="173" t="s">
        <v>11</v>
      </c>
      <c r="D279" s="173" t="s">
        <v>10</v>
      </c>
      <c r="E279" s="173" t="s">
        <v>81</v>
      </c>
      <c r="F279" s="156" t="s">
        <v>135</v>
      </c>
      <c r="G279" s="79">
        <v>364.3</v>
      </c>
      <c r="H279" s="79"/>
      <c r="I279" s="264">
        <f>275.1+528+252.6-1.5-79.7+1.8</f>
        <v>976.3</v>
      </c>
      <c r="J279" s="315">
        <v>976.3</v>
      </c>
      <c r="K279" s="263">
        <f t="shared" si="17"/>
        <v>100</v>
      </c>
    </row>
    <row r="280" spans="1:11" ht="63" customHeight="1">
      <c r="A280" s="121" t="s">
        <v>145</v>
      </c>
      <c r="B280" s="172" t="s">
        <v>77</v>
      </c>
      <c r="C280" s="173" t="s">
        <v>11</v>
      </c>
      <c r="D280" s="173" t="s">
        <v>10</v>
      </c>
      <c r="E280" s="173" t="s">
        <v>81</v>
      </c>
      <c r="F280" s="156" t="s">
        <v>141</v>
      </c>
      <c r="G280" s="79"/>
      <c r="H280" s="79"/>
      <c r="I280" s="264">
        <v>3.5</v>
      </c>
      <c r="J280" s="315">
        <v>0</v>
      </c>
      <c r="K280" s="263">
        <f t="shared" si="17"/>
        <v>0</v>
      </c>
    </row>
    <row r="281" spans="1:11" ht="120" customHeight="1">
      <c r="A281" s="212" t="s">
        <v>158</v>
      </c>
      <c r="B281" s="306" t="s">
        <v>77</v>
      </c>
      <c r="C281" s="101" t="s">
        <v>11</v>
      </c>
      <c r="D281" s="101" t="s">
        <v>10</v>
      </c>
      <c r="E281" s="101" t="s">
        <v>159</v>
      </c>
      <c r="F281" s="156" t="s">
        <v>7</v>
      </c>
      <c r="G281" s="80"/>
      <c r="H281" s="80"/>
      <c r="I281" s="264">
        <f>I282+I288+I291</f>
        <v>41143.799999999996</v>
      </c>
      <c r="J281" s="264">
        <f>J282+J288+J291</f>
        <v>41143.799999999996</v>
      </c>
      <c r="K281" s="263">
        <f t="shared" si="17"/>
        <v>100</v>
      </c>
    </row>
    <row r="282" spans="1:11" ht="42.75" customHeight="1">
      <c r="A282" s="6" t="s">
        <v>185</v>
      </c>
      <c r="B282" s="306" t="s">
        <v>77</v>
      </c>
      <c r="C282" s="101" t="s">
        <v>11</v>
      </c>
      <c r="D282" s="101" t="s">
        <v>10</v>
      </c>
      <c r="E282" s="101" t="s">
        <v>186</v>
      </c>
      <c r="F282" s="156" t="s">
        <v>7</v>
      </c>
      <c r="G282" s="80"/>
      <c r="H282" s="80"/>
      <c r="I282" s="264">
        <f>I283</f>
        <v>40582.899999999994</v>
      </c>
      <c r="J282" s="264">
        <f>J283</f>
        <v>40582.899999999994</v>
      </c>
      <c r="K282" s="263">
        <f t="shared" si="17"/>
        <v>100</v>
      </c>
    </row>
    <row r="283" spans="1:11" ht="44.25" customHeight="1">
      <c r="A283" s="157" t="s">
        <v>187</v>
      </c>
      <c r="B283" s="306" t="s">
        <v>77</v>
      </c>
      <c r="C283" s="101" t="s">
        <v>11</v>
      </c>
      <c r="D283" s="101" t="s">
        <v>10</v>
      </c>
      <c r="E283" s="101" t="s">
        <v>186</v>
      </c>
      <c r="F283" s="156" t="s">
        <v>7</v>
      </c>
      <c r="G283" s="80"/>
      <c r="H283" s="80"/>
      <c r="I283" s="264">
        <f>I284+I285+I286+I287</f>
        <v>40582.899999999994</v>
      </c>
      <c r="J283" s="264">
        <f>J284+J285+J286+J287</f>
        <v>40582.899999999994</v>
      </c>
      <c r="K283" s="263">
        <f t="shared" si="17"/>
        <v>100</v>
      </c>
    </row>
    <row r="284" spans="1:11" ht="21" customHeight="1">
      <c r="A284" s="212" t="s">
        <v>133</v>
      </c>
      <c r="B284" s="306" t="s">
        <v>77</v>
      </c>
      <c r="C284" s="101" t="s">
        <v>11</v>
      </c>
      <c r="D284" s="101" t="s">
        <v>10</v>
      </c>
      <c r="E284" s="101" t="s">
        <v>186</v>
      </c>
      <c r="F284" s="156" t="s">
        <v>135</v>
      </c>
      <c r="G284" s="80"/>
      <c r="H284" s="80"/>
      <c r="I284" s="338">
        <f>40605.2-12858.6</f>
        <v>27746.6</v>
      </c>
      <c r="J284" s="318">
        <v>27746.6</v>
      </c>
      <c r="K284" s="263">
        <f t="shared" si="17"/>
        <v>100</v>
      </c>
    </row>
    <row r="285" spans="1:11" ht="27.75" customHeight="1">
      <c r="A285" s="121" t="s">
        <v>132</v>
      </c>
      <c r="B285" s="306" t="s">
        <v>77</v>
      </c>
      <c r="C285" s="101" t="s">
        <v>11</v>
      </c>
      <c r="D285" s="101" t="s">
        <v>10</v>
      </c>
      <c r="E285" s="101" t="s">
        <v>186</v>
      </c>
      <c r="F285" s="156" t="s">
        <v>136</v>
      </c>
      <c r="G285" s="80"/>
      <c r="H285" s="80"/>
      <c r="I285" s="340">
        <f>114-12.5</f>
        <v>101.5</v>
      </c>
      <c r="J285" s="318">
        <v>101.5</v>
      </c>
      <c r="K285" s="263">
        <f t="shared" si="17"/>
        <v>100</v>
      </c>
    </row>
    <row r="286" spans="1:11" ht="31.5" customHeight="1">
      <c r="A286" s="121" t="s">
        <v>142</v>
      </c>
      <c r="B286" s="306" t="s">
        <v>77</v>
      </c>
      <c r="C286" s="101" t="s">
        <v>11</v>
      </c>
      <c r="D286" s="101" t="s">
        <v>10</v>
      </c>
      <c r="E286" s="101" t="s">
        <v>186</v>
      </c>
      <c r="F286" s="156" t="s">
        <v>129</v>
      </c>
      <c r="G286" s="80"/>
      <c r="H286" s="80"/>
      <c r="I286" s="340">
        <f>200.3-93.5</f>
        <v>106.80000000000001</v>
      </c>
      <c r="J286" s="318">
        <v>106.8</v>
      </c>
      <c r="K286" s="263">
        <f t="shared" si="17"/>
        <v>99.99999999999999</v>
      </c>
    </row>
    <row r="287" spans="1:11" ht="63.75" customHeight="1">
      <c r="A287" s="121" t="s">
        <v>145</v>
      </c>
      <c r="B287" s="306" t="s">
        <v>77</v>
      </c>
      <c r="C287" s="101" t="s">
        <v>11</v>
      </c>
      <c r="D287" s="101" t="s">
        <v>10</v>
      </c>
      <c r="E287" s="101" t="s">
        <v>186</v>
      </c>
      <c r="F287" s="92" t="s">
        <v>141</v>
      </c>
      <c r="G287" s="80"/>
      <c r="H287" s="80"/>
      <c r="I287" s="338">
        <f>21774.2-9146.2</f>
        <v>12628</v>
      </c>
      <c r="J287" s="377">
        <v>12628</v>
      </c>
      <c r="K287" s="263">
        <f t="shared" si="17"/>
        <v>100</v>
      </c>
    </row>
    <row r="288" spans="1:11" ht="75.75" customHeight="1">
      <c r="A288" s="121" t="s">
        <v>188</v>
      </c>
      <c r="B288" s="306" t="s">
        <v>77</v>
      </c>
      <c r="C288" s="101" t="s">
        <v>11</v>
      </c>
      <c r="D288" s="101" t="s">
        <v>10</v>
      </c>
      <c r="E288" s="101" t="s">
        <v>189</v>
      </c>
      <c r="F288" s="155" t="s">
        <v>7</v>
      </c>
      <c r="G288" s="80"/>
      <c r="H288" s="80"/>
      <c r="I288" s="264">
        <f>I289+I290</f>
        <v>320</v>
      </c>
      <c r="J288" s="264">
        <f>J289+J290</f>
        <v>320</v>
      </c>
      <c r="K288" s="263">
        <f t="shared" si="17"/>
        <v>100</v>
      </c>
    </row>
    <row r="289" spans="1:11" ht="16.5" customHeight="1">
      <c r="A289" s="297" t="s">
        <v>190</v>
      </c>
      <c r="B289" s="306" t="s">
        <v>77</v>
      </c>
      <c r="C289" s="101" t="s">
        <v>11</v>
      </c>
      <c r="D289" s="101" t="s">
        <v>10</v>
      </c>
      <c r="E289" s="101" t="s">
        <v>189</v>
      </c>
      <c r="F289" s="155" t="s">
        <v>191</v>
      </c>
      <c r="G289" s="80"/>
      <c r="H289" s="80"/>
      <c r="I289" s="264">
        <v>99.2</v>
      </c>
      <c r="J289" s="318">
        <v>99.2</v>
      </c>
      <c r="K289" s="263">
        <f t="shared" si="17"/>
        <v>100</v>
      </c>
    </row>
    <row r="290" spans="1:11" ht="33" customHeight="1">
      <c r="A290" s="157" t="s">
        <v>289</v>
      </c>
      <c r="B290" s="306" t="s">
        <v>77</v>
      </c>
      <c r="C290" s="101" t="s">
        <v>11</v>
      </c>
      <c r="D290" s="101" t="s">
        <v>10</v>
      </c>
      <c r="E290" s="101" t="s">
        <v>189</v>
      </c>
      <c r="F290" s="155" t="s">
        <v>290</v>
      </c>
      <c r="G290" s="80"/>
      <c r="H290" s="80"/>
      <c r="I290" s="264">
        <f>219.2+1.6</f>
        <v>220.79999999999998</v>
      </c>
      <c r="J290" s="318">
        <v>220.8</v>
      </c>
      <c r="K290" s="263">
        <f t="shared" si="17"/>
        <v>100.00000000000003</v>
      </c>
    </row>
    <row r="291" spans="1:11" ht="72" customHeight="1">
      <c r="A291" s="121" t="s">
        <v>214</v>
      </c>
      <c r="B291" s="306" t="s">
        <v>77</v>
      </c>
      <c r="C291" s="101" t="s">
        <v>11</v>
      </c>
      <c r="D291" s="101" t="s">
        <v>10</v>
      </c>
      <c r="E291" s="101" t="s">
        <v>215</v>
      </c>
      <c r="F291" s="120" t="s">
        <v>7</v>
      </c>
      <c r="G291" s="175"/>
      <c r="H291" s="175"/>
      <c r="I291" s="264">
        <f>I292+I293</f>
        <v>240.89999999999998</v>
      </c>
      <c r="J291" s="264">
        <f>J292+J293</f>
        <v>240.89999999999998</v>
      </c>
      <c r="K291" s="263">
        <f t="shared" si="17"/>
        <v>100</v>
      </c>
    </row>
    <row r="292" spans="1:11" ht="20.25" customHeight="1">
      <c r="A292" s="297" t="s">
        <v>181</v>
      </c>
      <c r="B292" s="306" t="s">
        <v>77</v>
      </c>
      <c r="C292" s="101" t="s">
        <v>11</v>
      </c>
      <c r="D292" s="101" t="s">
        <v>10</v>
      </c>
      <c r="E292" s="101" t="s">
        <v>215</v>
      </c>
      <c r="F292" s="120" t="s">
        <v>182</v>
      </c>
      <c r="G292" s="175"/>
      <c r="H292" s="175"/>
      <c r="I292" s="264">
        <f>194.2-6.6</f>
        <v>187.6</v>
      </c>
      <c r="J292" s="322">
        <v>187.6</v>
      </c>
      <c r="K292" s="263">
        <f t="shared" si="17"/>
        <v>100</v>
      </c>
    </row>
    <row r="293" spans="1:11" ht="33" customHeight="1">
      <c r="A293" s="157" t="s">
        <v>289</v>
      </c>
      <c r="B293" s="306" t="s">
        <v>77</v>
      </c>
      <c r="C293" s="101" t="s">
        <v>11</v>
      </c>
      <c r="D293" s="101" t="s">
        <v>10</v>
      </c>
      <c r="E293" s="101" t="s">
        <v>215</v>
      </c>
      <c r="F293" s="120" t="s">
        <v>290</v>
      </c>
      <c r="G293" s="175"/>
      <c r="H293" s="175"/>
      <c r="I293" s="264">
        <f>68.5-15.2</f>
        <v>53.3</v>
      </c>
      <c r="J293" s="322">
        <v>53.3</v>
      </c>
      <c r="K293" s="263">
        <f t="shared" si="17"/>
        <v>100</v>
      </c>
    </row>
    <row r="294" spans="1:11" ht="29.25" customHeight="1">
      <c r="A294" s="121" t="s">
        <v>219</v>
      </c>
      <c r="B294" s="306" t="s">
        <v>77</v>
      </c>
      <c r="C294" s="101" t="s">
        <v>11</v>
      </c>
      <c r="D294" s="101" t="s">
        <v>10</v>
      </c>
      <c r="E294" s="101" t="s">
        <v>220</v>
      </c>
      <c r="F294" s="120" t="s">
        <v>7</v>
      </c>
      <c r="G294" s="175"/>
      <c r="H294" s="175"/>
      <c r="I294" s="270">
        <f>I295+I298+I300</f>
        <v>65</v>
      </c>
      <c r="J294" s="270">
        <f>J295+J298+J300</f>
        <v>55.7</v>
      </c>
      <c r="K294" s="263">
        <f t="shared" si="17"/>
        <v>85.69230769230771</v>
      </c>
    </row>
    <row r="295" spans="1:11" ht="74.25" customHeight="1">
      <c r="A295" s="204" t="s">
        <v>217</v>
      </c>
      <c r="B295" s="306" t="s">
        <v>77</v>
      </c>
      <c r="C295" s="101" t="s">
        <v>11</v>
      </c>
      <c r="D295" s="101" t="s">
        <v>10</v>
      </c>
      <c r="E295" s="101" t="s">
        <v>220</v>
      </c>
      <c r="F295" s="120" t="s">
        <v>7</v>
      </c>
      <c r="G295" s="175"/>
      <c r="H295" s="175"/>
      <c r="I295" s="270">
        <f>I296+I297</f>
        <v>15.7</v>
      </c>
      <c r="J295" s="270">
        <f>J296+J297</f>
        <v>13.7</v>
      </c>
      <c r="K295" s="263">
        <f t="shared" si="17"/>
        <v>87.26114649681529</v>
      </c>
    </row>
    <row r="296" spans="1:11" ht="34.5" customHeight="1">
      <c r="A296" s="121" t="s">
        <v>142</v>
      </c>
      <c r="B296" s="306" t="s">
        <v>77</v>
      </c>
      <c r="C296" s="101" t="s">
        <v>11</v>
      </c>
      <c r="D296" s="101" t="s">
        <v>10</v>
      </c>
      <c r="E296" s="101" t="s">
        <v>220</v>
      </c>
      <c r="F296" s="120" t="s">
        <v>129</v>
      </c>
      <c r="G296" s="175"/>
      <c r="H296" s="175"/>
      <c r="I296" s="270">
        <f>10+0.7</f>
        <v>10.7</v>
      </c>
      <c r="J296" s="322">
        <v>10.7</v>
      </c>
      <c r="K296" s="263">
        <f t="shared" si="17"/>
        <v>100</v>
      </c>
    </row>
    <row r="297" spans="1:11" ht="29.25" customHeight="1">
      <c r="A297" s="157" t="s">
        <v>289</v>
      </c>
      <c r="B297" s="306" t="s">
        <v>77</v>
      </c>
      <c r="C297" s="101" t="s">
        <v>11</v>
      </c>
      <c r="D297" s="101" t="s">
        <v>10</v>
      </c>
      <c r="E297" s="101" t="s">
        <v>220</v>
      </c>
      <c r="F297" s="120" t="s">
        <v>290</v>
      </c>
      <c r="G297" s="175"/>
      <c r="H297" s="175"/>
      <c r="I297" s="270">
        <v>5</v>
      </c>
      <c r="J297" s="322">
        <v>3</v>
      </c>
      <c r="K297" s="263">
        <f t="shared" si="17"/>
        <v>60</v>
      </c>
    </row>
    <row r="298" spans="1:11" ht="87" customHeight="1">
      <c r="A298" s="204" t="s">
        <v>218</v>
      </c>
      <c r="B298" s="306" t="s">
        <v>77</v>
      </c>
      <c r="C298" s="101" t="s">
        <v>11</v>
      </c>
      <c r="D298" s="101" t="s">
        <v>10</v>
      </c>
      <c r="E298" s="101" t="s">
        <v>220</v>
      </c>
      <c r="F298" s="120" t="s">
        <v>7</v>
      </c>
      <c r="G298" s="175"/>
      <c r="H298" s="175"/>
      <c r="I298" s="270">
        <f>I299</f>
        <v>30</v>
      </c>
      <c r="J298" s="270">
        <f>J299</f>
        <v>22.7</v>
      </c>
      <c r="K298" s="263">
        <f t="shared" si="17"/>
        <v>75.66666666666666</v>
      </c>
    </row>
    <row r="299" spans="1:11" ht="32.25" customHeight="1">
      <c r="A299" s="157" t="s">
        <v>289</v>
      </c>
      <c r="B299" s="306" t="s">
        <v>77</v>
      </c>
      <c r="C299" s="101" t="s">
        <v>11</v>
      </c>
      <c r="D299" s="101" t="s">
        <v>10</v>
      </c>
      <c r="E299" s="101" t="s">
        <v>220</v>
      </c>
      <c r="F299" s="120" t="s">
        <v>290</v>
      </c>
      <c r="G299" s="175"/>
      <c r="H299" s="175"/>
      <c r="I299" s="270">
        <v>30</v>
      </c>
      <c r="J299" s="322">
        <v>22.7</v>
      </c>
      <c r="K299" s="263">
        <f t="shared" si="17"/>
        <v>75.66666666666666</v>
      </c>
    </row>
    <row r="300" spans="1:11" ht="47.25" customHeight="1">
      <c r="A300" s="121" t="s">
        <v>326</v>
      </c>
      <c r="B300" s="306" t="s">
        <v>77</v>
      </c>
      <c r="C300" s="101" t="s">
        <v>11</v>
      </c>
      <c r="D300" s="101" t="s">
        <v>10</v>
      </c>
      <c r="E300" s="101" t="s">
        <v>220</v>
      </c>
      <c r="F300" s="120" t="s">
        <v>7</v>
      </c>
      <c r="G300" s="175"/>
      <c r="H300" s="175"/>
      <c r="I300" s="270">
        <f>I301</f>
        <v>19.3</v>
      </c>
      <c r="J300" s="270">
        <f>J301</f>
        <v>19.3</v>
      </c>
      <c r="K300" s="263">
        <f t="shared" si="17"/>
        <v>100</v>
      </c>
    </row>
    <row r="301" spans="1:11" ht="30.75" customHeight="1">
      <c r="A301" s="157" t="s">
        <v>289</v>
      </c>
      <c r="B301" s="306" t="s">
        <v>77</v>
      </c>
      <c r="C301" s="101" t="s">
        <v>11</v>
      </c>
      <c r="D301" s="101" t="s">
        <v>10</v>
      </c>
      <c r="E301" s="101" t="s">
        <v>220</v>
      </c>
      <c r="F301" s="120" t="s">
        <v>290</v>
      </c>
      <c r="G301" s="175"/>
      <c r="H301" s="175"/>
      <c r="I301" s="270">
        <f>20-0.7</f>
        <v>19.3</v>
      </c>
      <c r="J301" s="322">
        <v>19.3</v>
      </c>
      <c r="K301" s="263">
        <f t="shared" si="17"/>
        <v>100</v>
      </c>
    </row>
    <row r="302" spans="1:11" ht="31.5" customHeight="1">
      <c r="A302" s="222" t="s">
        <v>27</v>
      </c>
      <c r="B302" s="348" t="s">
        <v>77</v>
      </c>
      <c r="C302" s="352" t="s">
        <v>11</v>
      </c>
      <c r="D302" s="353" t="s">
        <v>11</v>
      </c>
      <c r="E302" s="353" t="s">
        <v>29</v>
      </c>
      <c r="F302" s="15" t="s">
        <v>7</v>
      </c>
      <c r="G302" s="73">
        <f>G303+G306+G309</f>
        <v>1181.8</v>
      </c>
      <c r="H302" s="73"/>
      <c r="I302" s="263">
        <f>I303</f>
        <v>1206.5</v>
      </c>
      <c r="J302" s="263">
        <f>J303</f>
        <v>1206.3999999999999</v>
      </c>
      <c r="K302" s="263">
        <f t="shared" si="17"/>
        <v>99.99171156237048</v>
      </c>
    </row>
    <row r="303" spans="1:11" ht="28.5" customHeight="1">
      <c r="A303" s="219" t="s">
        <v>210</v>
      </c>
      <c r="B303" s="354" t="s">
        <v>77</v>
      </c>
      <c r="C303" s="352" t="s">
        <v>11</v>
      </c>
      <c r="D303" s="352" t="s">
        <v>11</v>
      </c>
      <c r="E303" s="352" t="s">
        <v>234</v>
      </c>
      <c r="F303" s="65" t="s">
        <v>7</v>
      </c>
      <c r="G303" s="168">
        <f>G306+G308+G309</f>
        <v>1016.3</v>
      </c>
      <c r="H303" s="168"/>
      <c r="I303" s="263">
        <f>I308+I306+I304</f>
        <v>1206.5</v>
      </c>
      <c r="J303" s="263">
        <f>J308+J306+J304</f>
        <v>1206.3999999999999</v>
      </c>
      <c r="K303" s="263">
        <f t="shared" si="17"/>
        <v>99.99171156237048</v>
      </c>
    </row>
    <row r="304" spans="1:11" ht="30.75" customHeight="1">
      <c r="A304" s="223" t="s">
        <v>300</v>
      </c>
      <c r="B304" s="355" t="s">
        <v>77</v>
      </c>
      <c r="C304" s="173" t="s">
        <v>11</v>
      </c>
      <c r="D304" s="173" t="s">
        <v>11</v>
      </c>
      <c r="E304" s="173" t="s">
        <v>316</v>
      </c>
      <c r="F304" s="63" t="s">
        <v>7</v>
      </c>
      <c r="G304" s="168"/>
      <c r="H304" s="168"/>
      <c r="I304" s="270">
        <f>I305</f>
        <v>44.2</v>
      </c>
      <c r="J304" s="270">
        <f>J305</f>
        <v>44.2</v>
      </c>
      <c r="K304" s="263">
        <f t="shared" si="17"/>
        <v>100</v>
      </c>
    </row>
    <row r="305" spans="1:11" ht="28.5" customHeight="1">
      <c r="A305" s="121" t="s">
        <v>142</v>
      </c>
      <c r="B305" s="355" t="s">
        <v>77</v>
      </c>
      <c r="C305" s="173" t="s">
        <v>11</v>
      </c>
      <c r="D305" s="173" t="s">
        <v>11</v>
      </c>
      <c r="E305" s="173" t="s">
        <v>316</v>
      </c>
      <c r="F305" s="63" t="s">
        <v>129</v>
      </c>
      <c r="G305" s="168"/>
      <c r="H305" s="168"/>
      <c r="I305" s="270">
        <v>44.2</v>
      </c>
      <c r="J305" s="380">
        <v>44.2</v>
      </c>
      <c r="K305" s="263">
        <f t="shared" si="17"/>
        <v>100</v>
      </c>
    </row>
    <row r="306" spans="1:11" ht="132" customHeight="1">
      <c r="A306" s="379" t="s">
        <v>211</v>
      </c>
      <c r="B306" s="306" t="s">
        <v>77</v>
      </c>
      <c r="C306" s="101" t="s">
        <v>11</v>
      </c>
      <c r="D306" s="101" t="s">
        <v>11</v>
      </c>
      <c r="E306" s="356" t="s">
        <v>233</v>
      </c>
      <c r="F306" s="55" t="s">
        <v>7</v>
      </c>
      <c r="G306" s="170">
        <v>165.5</v>
      </c>
      <c r="H306" s="170"/>
      <c r="I306" s="264">
        <f>I307</f>
        <v>204</v>
      </c>
      <c r="J306" s="264">
        <f>J307</f>
        <v>204</v>
      </c>
      <c r="K306" s="263">
        <f t="shared" si="17"/>
        <v>100</v>
      </c>
    </row>
    <row r="307" spans="1:11" ht="47.25" customHeight="1">
      <c r="A307" s="121" t="s">
        <v>279</v>
      </c>
      <c r="B307" s="306" t="s">
        <v>77</v>
      </c>
      <c r="C307" s="101" t="s">
        <v>11</v>
      </c>
      <c r="D307" s="101" t="s">
        <v>11</v>
      </c>
      <c r="E307" s="356" t="s">
        <v>233</v>
      </c>
      <c r="F307" s="55" t="s">
        <v>225</v>
      </c>
      <c r="G307" s="170"/>
      <c r="H307" s="170"/>
      <c r="I307" s="264">
        <v>204</v>
      </c>
      <c r="J307" s="318">
        <v>204</v>
      </c>
      <c r="K307" s="263">
        <f t="shared" si="17"/>
        <v>100</v>
      </c>
    </row>
    <row r="308" spans="1:11" ht="148.5" customHeight="1">
      <c r="A308" s="202" t="s">
        <v>212</v>
      </c>
      <c r="B308" s="306" t="s">
        <v>77</v>
      </c>
      <c r="C308" s="101" t="s">
        <v>11</v>
      </c>
      <c r="D308" s="101" t="s">
        <v>11</v>
      </c>
      <c r="E308" s="356" t="s">
        <v>228</v>
      </c>
      <c r="F308" s="55" t="s">
        <v>7</v>
      </c>
      <c r="G308" s="171">
        <v>850.8</v>
      </c>
      <c r="H308" s="171"/>
      <c r="I308" s="264">
        <f>I309+I310</f>
        <v>958.3</v>
      </c>
      <c r="J308" s="264">
        <f>J309+J310</f>
        <v>958.1999999999999</v>
      </c>
      <c r="K308" s="263">
        <f t="shared" si="17"/>
        <v>99.98956485442972</v>
      </c>
    </row>
    <row r="309" spans="1:11" ht="29.25" customHeight="1">
      <c r="A309" s="343" t="s">
        <v>142</v>
      </c>
      <c r="B309" s="306" t="s">
        <v>77</v>
      </c>
      <c r="C309" s="101" t="s">
        <v>11</v>
      </c>
      <c r="D309" s="101" t="s">
        <v>11</v>
      </c>
      <c r="E309" s="356" t="s">
        <v>228</v>
      </c>
      <c r="F309" s="55" t="s">
        <v>129</v>
      </c>
      <c r="G309" s="171"/>
      <c r="H309" s="171"/>
      <c r="I309" s="264">
        <f>610.3-1.4</f>
        <v>608.9</v>
      </c>
      <c r="J309" s="322">
        <v>608.8</v>
      </c>
      <c r="K309" s="263">
        <f t="shared" si="17"/>
        <v>99.9835769420266</v>
      </c>
    </row>
    <row r="310" spans="1:11" ht="31.5" customHeight="1">
      <c r="A310" s="344" t="s">
        <v>289</v>
      </c>
      <c r="B310" s="306" t="s">
        <v>77</v>
      </c>
      <c r="C310" s="101" t="s">
        <v>11</v>
      </c>
      <c r="D310" s="101" t="s">
        <v>11</v>
      </c>
      <c r="E310" s="356" t="s">
        <v>228</v>
      </c>
      <c r="F310" s="55" t="s">
        <v>290</v>
      </c>
      <c r="G310" s="171"/>
      <c r="H310" s="171"/>
      <c r="I310" s="264">
        <f>364-14.6</f>
        <v>349.4</v>
      </c>
      <c r="J310" s="322">
        <v>349.4</v>
      </c>
      <c r="K310" s="263">
        <f t="shared" si="17"/>
        <v>100</v>
      </c>
    </row>
    <row r="311" spans="1:13" ht="28.5" customHeight="1">
      <c r="A311" s="3" t="s">
        <v>39</v>
      </c>
      <c r="B311" s="348" t="s">
        <v>77</v>
      </c>
      <c r="C311" s="353" t="s">
        <v>11</v>
      </c>
      <c r="D311" s="353" t="s">
        <v>22</v>
      </c>
      <c r="E311" s="353" t="s">
        <v>29</v>
      </c>
      <c r="F311" s="64" t="s">
        <v>7</v>
      </c>
      <c r="G311" s="81" t="e">
        <f>G312+G327+#REF!+#REF!+#REF!+#REF!+#REF!+#REF!+#REF!+#REF!+#REF!+#REF!+#REF!+#REF!</f>
        <v>#REF!</v>
      </c>
      <c r="H311" s="81" t="e">
        <f>H312+H328</f>
        <v>#REF!</v>
      </c>
      <c r="I311" s="263">
        <v>2081.4</v>
      </c>
      <c r="J311" s="263">
        <f>J312+J318+J323+J327+J334+J337+J340+J343+J325</f>
        <v>1974.7999999999997</v>
      </c>
      <c r="K311" s="263">
        <f t="shared" si="17"/>
        <v>94.87844719900066</v>
      </c>
      <c r="L311" s="10"/>
      <c r="M311" s="10"/>
    </row>
    <row r="312" spans="1:13" ht="69.75" customHeight="1">
      <c r="A312" s="220" t="s">
        <v>59</v>
      </c>
      <c r="B312" s="349" t="s">
        <v>77</v>
      </c>
      <c r="C312" s="239" t="s">
        <v>11</v>
      </c>
      <c r="D312" s="239" t="s">
        <v>22</v>
      </c>
      <c r="E312" s="239" t="s">
        <v>65</v>
      </c>
      <c r="F312" s="12" t="s">
        <v>7</v>
      </c>
      <c r="G312" s="78" t="e">
        <f>G313</f>
        <v>#REF!</v>
      </c>
      <c r="H312" s="78" t="e">
        <f>H313</f>
        <v>#REF!</v>
      </c>
      <c r="I312" s="263">
        <f>I313</f>
        <v>754.4000000000001</v>
      </c>
      <c r="J312" s="263">
        <f>J313</f>
        <v>738.8</v>
      </c>
      <c r="K312" s="263">
        <f t="shared" si="17"/>
        <v>97.93213149522798</v>
      </c>
      <c r="L312" s="9"/>
      <c r="M312" s="9"/>
    </row>
    <row r="313" spans="1:13" ht="22.5" customHeight="1">
      <c r="A313" s="233" t="s">
        <v>18</v>
      </c>
      <c r="B313" s="349" t="s">
        <v>77</v>
      </c>
      <c r="C313" s="239" t="s">
        <v>11</v>
      </c>
      <c r="D313" s="239" t="s">
        <v>22</v>
      </c>
      <c r="E313" s="239" t="s">
        <v>66</v>
      </c>
      <c r="F313" s="12" t="s">
        <v>7</v>
      </c>
      <c r="G313" s="78" t="e">
        <f>#REF!</f>
        <v>#REF!</v>
      </c>
      <c r="H313" s="78" t="e">
        <f>#REF!</f>
        <v>#REF!</v>
      </c>
      <c r="I313" s="264">
        <f>I314+I315+I316+I317</f>
        <v>754.4000000000001</v>
      </c>
      <c r="J313" s="264">
        <f>J314+J315+J316+J317</f>
        <v>738.8</v>
      </c>
      <c r="K313" s="263">
        <f t="shared" si="17"/>
        <v>97.93213149522798</v>
      </c>
      <c r="L313" s="9"/>
      <c r="M313" s="9"/>
    </row>
    <row r="314" spans="1:13" ht="21.75" customHeight="1">
      <c r="A314" s="212" t="s">
        <v>133</v>
      </c>
      <c r="B314" s="349" t="s">
        <v>77</v>
      </c>
      <c r="C314" s="239" t="s">
        <v>11</v>
      </c>
      <c r="D314" s="239" t="s">
        <v>22</v>
      </c>
      <c r="E314" s="239" t="s">
        <v>66</v>
      </c>
      <c r="F314" s="120" t="s">
        <v>127</v>
      </c>
      <c r="G314" s="78"/>
      <c r="H314" s="78"/>
      <c r="I314" s="264">
        <f>565+23.6</f>
        <v>588.6</v>
      </c>
      <c r="J314" s="314">
        <v>574.9</v>
      </c>
      <c r="K314" s="263">
        <f t="shared" si="17"/>
        <v>97.67244308528711</v>
      </c>
      <c r="L314" s="9"/>
      <c r="M314" s="9"/>
    </row>
    <row r="315" spans="1:13" ht="35.25" customHeight="1">
      <c r="A315" s="121" t="s">
        <v>142</v>
      </c>
      <c r="B315" s="349" t="s">
        <v>77</v>
      </c>
      <c r="C315" s="239" t="s">
        <v>11</v>
      </c>
      <c r="D315" s="239" t="s">
        <v>22</v>
      </c>
      <c r="E315" s="239" t="s">
        <v>66</v>
      </c>
      <c r="F315" s="120" t="s">
        <v>129</v>
      </c>
      <c r="G315" s="78"/>
      <c r="H315" s="78"/>
      <c r="I315" s="264">
        <v>155.8</v>
      </c>
      <c r="J315" s="314">
        <v>155.8</v>
      </c>
      <c r="K315" s="263">
        <f t="shared" si="17"/>
        <v>100</v>
      </c>
      <c r="L315" s="9"/>
      <c r="M315" s="9"/>
    </row>
    <row r="316" spans="1:13" ht="36" customHeight="1">
      <c r="A316" s="212" t="s">
        <v>131</v>
      </c>
      <c r="B316" s="349" t="s">
        <v>77</v>
      </c>
      <c r="C316" s="239" t="s">
        <v>11</v>
      </c>
      <c r="D316" s="239" t="s">
        <v>22</v>
      </c>
      <c r="E316" s="239" t="s">
        <v>66</v>
      </c>
      <c r="F316" s="120" t="s">
        <v>130</v>
      </c>
      <c r="G316" s="78"/>
      <c r="H316" s="78"/>
      <c r="I316" s="264">
        <v>8.7</v>
      </c>
      <c r="J316" s="314">
        <v>6.8</v>
      </c>
      <c r="K316" s="263">
        <f t="shared" si="17"/>
        <v>78.16091954022988</v>
      </c>
      <c r="L316" s="9"/>
      <c r="M316" s="9"/>
    </row>
    <row r="317" spans="1:13" ht="35.25" customHeight="1">
      <c r="A317" s="212" t="s">
        <v>138</v>
      </c>
      <c r="B317" s="349" t="s">
        <v>77</v>
      </c>
      <c r="C317" s="239" t="s">
        <v>11</v>
      </c>
      <c r="D317" s="239" t="s">
        <v>22</v>
      </c>
      <c r="E317" s="239" t="s">
        <v>66</v>
      </c>
      <c r="F317" s="120" t="s">
        <v>137</v>
      </c>
      <c r="G317" s="78"/>
      <c r="H317" s="78"/>
      <c r="I317" s="264">
        <v>1.3</v>
      </c>
      <c r="J317" s="314">
        <v>1.3</v>
      </c>
      <c r="K317" s="263">
        <f t="shared" si="17"/>
        <v>100</v>
      </c>
      <c r="L317" s="9"/>
      <c r="M317" s="9"/>
    </row>
    <row r="318" spans="1:13" ht="30.75" customHeight="1">
      <c r="A318" s="215" t="s">
        <v>232</v>
      </c>
      <c r="B318" s="347" t="s">
        <v>77</v>
      </c>
      <c r="C318" s="357" t="s">
        <v>11</v>
      </c>
      <c r="D318" s="357" t="s">
        <v>22</v>
      </c>
      <c r="E318" s="357" t="s">
        <v>234</v>
      </c>
      <c r="F318" s="134" t="s">
        <v>7</v>
      </c>
      <c r="G318" s="286"/>
      <c r="H318" s="286"/>
      <c r="I318" s="263">
        <f>I320+I322</f>
        <v>11.799999999999999</v>
      </c>
      <c r="J318" s="263">
        <f>J320+J322</f>
        <v>11.6</v>
      </c>
      <c r="K318" s="263">
        <f t="shared" si="17"/>
        <v>98.30508474576271</v>
      </c>
      <c r="L318" s="9"/>
      <c r="M318" s="9"/>
    </row>
    <row r="319" spans="1:13" ht="36.75" customHeight="1">
      <c r="A319" s="227" t="s">
        <v>235</v>
      </c>
      <c r="B319" s="358" t="s">
        <v>77</v>
      </c>
      <c r="C319" s="257" t="s">
        <v>11</v>
      </c>
      <c r="D319" s="257" t="s">
        <v>22</v>
      </c>
      <c r="E319" s="257" t="s">
        <v>233</v>
      </c>
      <c r="F319" s="201" t="s">
        <v>7</v>
      </c>
      <c r="G319" s="286"/>
      <c r="H319" s="286"/>
      <c r="I319" s="270">
        <f>I320</f>
        <v>2.1</v>
      </c>
      <c r="J319" s="270">
        <f>J320</f>
        <v>2</v>
      </c>
      <c r="K319" s="263">
        <f t="shared" si="17"/>
        <v>95.23809523809523</v>
      </c>
      <c r="L319" s="9"/>
      <c r="M319" s="9"/>
    </row>
    <row r="320" spans="1:13" ht="36" customHeight="1">
      <c r="A320" s="121" t="s">
        <v>142</v>
      </c>
      <c r="B320" s="358" t="s">
        <v>77</v>
      </c>
      <c r="C320" s="257" t="s">
        <v>11</v>
      </c>
      <c r="D320" s="257" t="s">
        <v>22</v>
      </c>
      <c r="E320" s="257" t="s">
        <v>233</v>
      </c>
      <c r="F320" s="137" t="s">
        <v>129</v>
      </c>
      <c r="G320" s="199"/>
      <c r="H320" s="199"/>
      <c r="I320" s="270">
        <v>2.1</v>
      </c>
      <c r="J320" s="322">
        <v>2</v>
      </c>
      <c r="K320" s="263">
        <f t="shared" si="17"/>
        <v>95.23809523809523</v>
      </c>
      <c r="L320" s="9"/>
      <c r="M320" s="9"/>
    </row>
    <row r="321" spans="1:13" ht="33" customHeight="1">
      <c r="A321" s="227" t="s">
        <v>236</v>
      </c>
      <c r="B321" s="358" t="s">
        <v>77</v>
      </c>
      <c r="C321" s="257" t="s">
        <v>11</v>
      </c>
      <c r="D321" s="257" t="s">
        <v>22</v>
      </c>
      <c r="E321" s="257" t="s">
        <v>228</v>
      </c>
      <c r="F321" s="137" t="s">
        <v>7</v>
      </c>
      <c r="G321" s="199"/>
      <c r="H321" s="199"/>
      <c r="I321" s="270">
        <f>I322</f>
        <v>9.7</v>
      </c>
      <c r="J321" s="270">
        <f>J322</f>
        <v>9.6</v>
      </c>
      <c r="K321" s="263">
        <f t="shared" si="17"/>
        <v>98.96907216494846</v>
      </c>
      <c r="L321" s="9"/>
      <c r="M321" s="9"/>
    </row>
    <row r="322" spans="1:13" ht="33" customHeight="1">
      <c r="A322" s="121" t="s">
        <v>142</v>
      </c>
      <c r="B322" s="358" t="s">
        <v>77</v>
      </c>
      <c r="C322" s="257" t="s">
        <v>11</v>
      </c>
      <c r="D322" s="257" t="s">
        <v>22</v>
      </c>
      <c r="E322" s="257" t="s">
        <v>228</v>
      </c>
      <c r="F322" s="137" t="s">
        <v>129</v>
      </c>
      <c r="G322" s="199"/>
      <c r="H322" s="199"/>
      <c r="I322" s="270">
        <v>9.7</v>
      </c>
      <c r="J322" s="322">
        <v>9.6</v>
      </c>
      <c r="K322" s="263">
        <f t="shared" si="17"/>
        <v>98.96907216494846</v>
      </c>
      <c r="L322" s="9"/>
      <c r="M322" s="9"/>
    </row>
    <row r="323" spans="1:21" ht="30" customHeight="1">
      <c r="A323" s="157" t="s">
        <v>299</v>
      </c>
      <c r="B323" s="358" t="s">
        <v>77</v>
      </c>
      <c r="C323" s="257" t="s">
        <v>11</v>
      </c>
      <c r="D323" s="257" t="s">
        <v>22</v>
      </c>
      <c r="E323" s="257" t="s">
        <v>296</v>
      </c>
      <c r="F323" s="137" t="s">
        <v>7</v>
      </c>
      <c r="G323" s="199"/>
      <c r="H323" s="199"/>
      <c r="I323" s="263">
        <f>I324</f>
        <v>6.3</v>
      </c>
      <c r="J323" s="263">
        <f>J324</f>
        <v>6.3</v>
      </c>
      <c r="K323" s="263">
        <f t="shared" si="17"/>
        <v>100</v>
      </c>
      <c r="L323" s="9"/>
      <c r="M323" s="9"/>
      <c r="U323" s="157"/>
    </row>
    <row r="324" spans="1:13" ht="30.75" customHeight="1">
      <c r="A324" s="121" t="s">
        <v>142</v>
      </c>
      <c r="B324" s="358" t="s">
        <v>77</v>
      </c>
      <c r="C324" s="257" t="s">
        <v>11</v>
      </c>
      <c r="D324" s="257" t="s">
        <v>22</v>
      </c>
      <c r="E324" s="257" t="s">
        <v>296</v>
      </c>
      <c r="F324" s="137" t="s">
        <v>129</v>
      </c>
      <c r="G324" s="199"/>
      <c r="H324" s="199"/>
      <c r="I324" s="270">
        <v>6.3</v>
      </c>
      <c r="J324" s="322">
        <v>6.3</v>
      </c>
      <c r="K324" s="263">
        <f t="shared" si="17"/>
        <v>100</v>
      </c>
      <c r="L324" s="9"/>
      <c r="M324" s="9"/>
    </row>
    <row r="325" spans="1:13" ht="118.5" customHeight="1">
      <c r="A325" s="157" t="s">
        <v>321</v>
      </c>
      <c r="B325" s="358" t="s">
        <v>77</v>
      </c>
      <c r="C325" s="257" t="s">
        <v>11</v>
      </c>
      <c r="D325" s="257" t="s">
        <v>22</v>
      </c>
      <c r="E325" s="257" t="s">
        <v>320</v>
      </c>
      <c r="F325" s="137" t="s">
        <v>7</v>
      </c>
      <c r="G325" s="199"/>
      <c r="H325" s="199"/>
      <c r="I325" s="270">
        <f>I326</f>
        <v>13</v>
      </c>
      <c r="J325" s="270">
        <f>J326</f>
        <v>13</v>
      </c>
      <c r="K325" s="263">
        <f t="shared" si="17"/>
        <v>100</v>
      </c>
      <c r="L325" s="9"/>
      <c r="M325" s="9"/>
    </row>
    <row r="326" spans="1:13" ht="27" customHeight="1">
      <c r="A326" s="212" t="s">
        <v>133</v>
      </c>
      <c r="B326" s="358" t="s">
        <v>77</v>
      </c>
      <c r="C326" s="257" t="s">
        <v>11</v>
      </c>
      <c r="D326" s="257" t="s">
        <v>22</v>
      </c>
      <c r="E326" s="257" t="s">
        <v>320</v>
      </c>
      <c r="F326" s="137" t="s">
        <v>135</v>
      </c>
      <c r="G326" s="199"/>
      <c r="H326" s="199"/>
      <c r="I326" s="270">
        <v>13</v>
      </c>
      <c r="J326" s="322">
        <v>13</v>
      </c>
      <c r="K326" s="263">
        <f t="shared" si="17"/>
        <v>100</v>
      </c>
      <c r="L326" s="9"/>
      <c r="M326" s="9"/>
    </row>
    <row r="327" spans="1:11" ht="91.5" customHeight="1">
      <c r="A327" s="222" t="s">
        <v>21</v>
      </c>
      <c r="B327" s="111" t="s">
        <v>77</v>
      </c>
      <c r="C327" s="64" t="s">
        <v>11</v>
      </c>
      <c r="D327" s="64" t="s">
        <v>22</v>
      </c>
      <c r="E327" s="64" t="s">
        <v>30</v>
      </c>
      <c r="F327" s="64" t="s">
        <v>7</v>
      </c>
      <c r="G327" s="78" t="e">
        <f>G328</f>
        <v>#REF!</v>
      </c>
      <c r="H327" s="78"/>
      <c r="I327" s="263">
        <f>I328</f>
        <v>948.2</v>
      </c>
      <c r="J327" s="263">
        <f>J328</f>
        <v>861.0999999999999</v>
      </c>
      <c r="K327" s="263">
        <f t="shared" si="17"/>
        <v>90.81417422484706</v>
      </c>
    </row>
    <row r="328" spans="1:11" ht="29.25" customHeight="1">
      <c r="A328" s="157" t="s">
        <v>20</v>
      </c>
      <c r="B328" s="108" t="s">
        <v>77</v>
      </c>
      <c r="C328" s="12" t="s">
        <v>11</v>
      </c>
      <c r="D328" s="12" t="s">
        <v>22</v>
      </c>
      <c r="E328" s="12" t="s">
        <v>82</v>
      </c>
      <c r="F328" s="12" t="s">
        <v>7</v>
      </c>
      <c r="G328" s="78" t="e">
        <f>#REF!</f>
        <v>#REF!</v>
      </c>
      <c r="H328" s="78">
        <v>860</v>
      </c>
      <c r="I328" s="264">
        <f>I329+I330+I331+I332+I333</f>
        <v>948.2</v>
      </c>
      <c r="J328" s="264">
        <f>J329+J330+J331+J332+J333</f>
        <v>861.0999999999999</v>
      </c>
      <c r="K328" s="263">
        <f t="shared" si="17"/>
        <v>90.81417422484706</v>
      </c>
    </row>
    <row r="329" spans="1:11" ht="19.5" customHeight="1">
      <c r="A329" s="212" t="s">
        <v>133</v>
      </c>
      <c r="B329" s="108" t="s">
        <v>77</v>
      </c>
      <c r="C329" s="12" t="s">
        <v>11</v>
      </c>
      <c r="D329" s="12" t="s">
        <v>22</v>
      </c>
      <c r="E329" s="12" t="s">
        <v>82</v>
      </c>
      <c r="F329" s="94" t="s">
        <v>135</v>
      </c>
      <c r="G329" s="78"/>
      <c r="H329" s="78"/>
      <c r="I329" s="264">
        <v>650.7</v>
      </c>
      <c r="J329" s="314">
        <v>596.3</v>
      </c>
      <c r="K329" s="263">
        <f t="shared" si="17"/>
        <v>91.6397725526356</v>
      </c>
    </row>
    <row r="330" spans="1:11" ht="31.5" customHeight="1">
      <c r="A330" s="121" t="s">
        <v>142</v>
      </c>
      <c r="B330" s="108" t="s">
        <v>77</v>
      </c>
      <c r="C330" s="12" t="s">
        <v>11</v>
      </c>
      <c r="D330" s="12" t="s">
        <v>22</v>
      </c>
      <c r="E330" s="12" t="s">
        <v>82</v>
      </c>
      <c r="F330" s="94" t="s">
        <v>129</v>
      </c>
      <c r="G330" s="78"/>
      <c r="H330" s="78"/>
      <c r="I330" s="264">
        <v>273.2</v>
      </c>
      <c r="J330" s="314">
        <v>246</v>
      </c>
      <c r="K330" s="263">
        <f t="shared" si="17"/>
        <v>90.04392386530014</v>
      </c>
    </row>
    <row r="331" spans="1:11" ht="50.25" customHeight="1">
      <c r="A331" s="253" t="s">
        <v>226</v>
      </c>
      <c r="B331" s="198" t="s">
        <v>77</v>
      </c>
      <c r="C331" s="137" t="s">
        <v>11</v>
      </c>
      <c r="D331" s="137" t="s">
        <v>22</v>
      </c>
      <c r="E331" s="137" t="s">
        <v>82</v>
      </c>
      <c r="F331" s="254" t="s">
        <v>225</v>
      </c>
      <c r="G331" s="199"/>
      <c r="H331" s="199"/>
      <c r="I331" s="270">
        <v>18.3</v>
      </c>
      <c r="J331" s="322">
        <v>18.3</v>
      </c>
      <c r="K331" s="263">
        <f t="shared" si="17"/>
        <v>100</v>
      </c>
    </row>
    <row r="332" spans="1:11" ht="28.5" customHeight="1">
      <c r="A332" s="212" t="s">
        <v>131</v>
      </c>
      <c r="B332" s="108" t="s">
        <v>77</v>
      </c>
      <c r="C332" s="12" t="s">
        <v>11</v>
      </c>
      <c r="D332" s="12" t="s">
        <v>22</v>
      </c>
      <c r="E332" s="12" t="s">
        <v>82</v>
      </c>
      <c r="F332" s="120" t="s">
        <v>130</v>
      </c>
      <c r="G332" s="78"/>
      <c r="H332" s="78"/>
      <c r="I332" s="264">
        <f>20-15</f>
        <v>5</v>
      </c>
      <c r="J332" s="314">
        <v>0.1</v>
      </c>
      <c r="K332" s="263">
        <f t="shared" si="17"/>
        <v>2</v>
      </c>
    </row>
    <row r="333" spans="1:11" ht="28.5" customHeight="1">
      <c r="A333" s="212" t="s">
        <v>138</v>
      </c>
      <c r="B333" s="108" t="s">
        <v>77</v>
      </c>
      <c r="C333" s="12" t="s">
        <v>11</v>
      </c>
      <c r="D333" s="12" t="s">
        <v>22</v>
      </c>
      <c r="E333" s="12" t="s">
        <v>82</v>
      </c>
      <c r="F333" s="120" t="s">
        <v>137</v>
      </c>
      <c r="G333" s="78"/>
      <c r="H333" s="78"/>
      <c r="I333" s="264">
        <v>1</v>
      </c>
      <c r="J333" s="314">
        <v>0.4</v>
      </c>
      <c r="K333" s="263">
        <f t="shared" si="17"/>
        <v>40</v>
      </c>
    </row>
    <row r="334" spans="1:11" ht="20.25" customHeight="1">
      <c r="A334" s="212" t="s">
        <v>83</v>
      </c>
      <c r="B334" s="182" t="s">
        <v>77</v>
      </c>
      <c r="C334" s="183" t="s">
        <v>11</v>
      </c>
      <c r="D334" s="183" t="s">
        <v>22</v>
      </c>
      <c r="E334" s="186" t="s">
        <v>198</v>
      </c>
      <c r="F334" s="183" t="s">
        <v>7</v>
      </c>
      <c r="G334" s="78"/>
      <c r="H334" s="78"/>
      <c r="I334" s="264">
        <f>I335</f>
        <v>0.8</v>
      </c>
      <c r="J334" s="264">
        <f>J335</f>
        <v>0</v>
      </c>
      <c r="K334" s="263">
        <f t="shared" si="17"/>
        <v>0</v>
      </c>
    </row>
    <row r="335" spans="1:11" ht="57.75" customHeight="1">
      <c r="A335" s="220" t="s">
        <v>229</v>
      </c>
      <c r="B335" s="182" t="s">
        <v>77</v>
      </c>
      <c r="C335" s="183" t="s">
        <v>11</v>
      </c>
      <c r="D335" s="183" t="s">
        <v>22</v>
      </c>
      <c r="E335" s="186" t="s">
        <v>199</v>
      </c>
      <c r="F335" s="183" t="s">
        <v>7</v>
      </c>
      <c r="G335" s="43"/>
      <c r="H335" s="43"/>
      <c r="I335" s="264">
        <f>I336</f>
        <v>0.8</v>
      </c>
      <c r="J335" s="264">
        <f>J336</f>
        <v>0</v>
      </c>
      <c r="K335" s="263">
        <f t="shared" si="17"/>
        <v>0</v>
      </c>
    </row>
    <row r="336" spans="1:11" ht="33" customHeight="1">
      <c r="A336" s="121" t="s">
        <v>142</v>
      </c>
      <c r="B336" s="182" t="s">
        <v>77</v>
      </c>
      <c r="C336" s="183" t="s">
        <v>11</v>
      </c>
      <c r="D336" s="183" t="s">
        <v>22</v>
      </c>
      <c r="E336" s="186" t="s">
        <v>199</v>
      </c>
      <c r="F336" s="183" t="s">
        <v>129</v>
      </c>
      <c r="G336" s="43"/>
      <c r="H336" s="43"/>
      <c r="I336" s="264">
        <v>0.8</v>
      </c>
      <c r="J336" s="315">
        <v>0</v>
      </c>
      <c r="K336" s="263">
        <f t="shared" si="17"/>
        <v>0</v>
      </c>
    </row>
    <row r="337" spans="1:11" ht="74.25" customHeight="1">
      <c r="A337" s="14" t="s">
        <v>263</v>
      </c>
      <c r="B337" s="166" t="s">
        <v>77</v>
      </c>
      <c r="C337" s="101" t="s">
        <v>11</v>
      </c>
      <c r="D337" s="101" t="s">
        <v>22</v>
      </c>
      <c r="E337" s="101" t="s">
        <v>264</v>
      </c>
      <c r="F337" s="155" t="s">
        <v>44</v>
      </c>
      <c r="G337" s="43"/>
      <c r="H337" s="43"/>
      <c r="I337" s="264">
        <f>I338</f>
        <v>114.8</v>
      </c>
      <c r="J337" s="264">
        <f>J338</f>
        <v>114.8</v>
      </c>
      <c r="K337" s="263">
        <f aca="true" t="shared" si="18" ref="K337:K380">J337/I337*100</f>
        <v>100</v>
      </c>
    </row>
    <row r="338" spans="1:11" ht="49.5" customHeight="1">
      <c r="A338" s="121" t="s">
        <v>150</v>
      </c>
      <c r="B338" s="166" t="s">
        <v>77</v>
      </c>
      <c r="C338" s="101" t="s">
        <v>11</v>
      </c>
      <c r="D338" s="101" t="s">
        <v>22</v>
      </c>
      <c r="E338" s="101" t="s">
        <v>1</v>
      </c>
      <c r="F338" s="155" t="s">
        <v>7</v>
      </c>
      <c r="G338" s="43"/>
      <c r="H338" s="43"/>
      <c r="I338" s="264">
        <f>I339</f>
        <v>114.8</v>
      </c>
      <c r="J338" s="264">
        <f>J339</f>
        <v>114.8</v>
      </c>
      <c r="K338" s="263">
        <f t="shared" si="18"/>
        <v>100</v>
      </c>
    </row>
    <row r="339" spans="1:11" ht="22.5" customHeight="1">
      <c r="A339" s="212" t="s">
        <v>133</v>
      </c>
      <c r="B339" s="166" t="s">
        <v>77</v>
      </c>
      <c r="C339" s="101" t="s">
        <v>11</v>
      </c>
      <c r="D339" s="101" t="s">
        <v>22</v>
      </c>
      <c r="E339" s="101" t="s">
        <v>1</v>
      </c>
      <c r="F339" s="155" t="s">
        <v>135</v>
      </c>
      <c r="G339" s="43"/>
      <c r="H339" s="43"/>
      <c r="I339" s="264">
        <v>114.8</v>
      </c>
      <c r="J339" s="315">
        <v>114.8</v>
      </c>
      <c r="K339" s="263">
        <f t="shared" si="18"/>
        <v>100</v>
      </c>
    </row>
    <row r="340" spans="1:11" ht="23.25" customHeight="1">
      <c r="A340" s="345" t="s">
        <v>109</v>
      </c>
      <c r="B340" s="182" t="s">
        <v>77</v>
      </c>
      <c r="C340" s="183" t="s">
        <v>11</v>
      </c>
      <c r="D340" s="183" t="s">
        <v>22</v>
      </c>
      <c r="E340" s="186" t="s">
        <v>52</v>
      </c>
      <c r="F340" s="183" t="s">
        <v>7</v>
      </c>
      <c r="G340" s="43"/>
      <c r="H340" s="43"/>
      <c r="I340" s="270">
        <f>I341</f>
        <v>5.3</v>
      </c>
      <c r="J340" s="270">
        <f>J341</f>
        <v>2.8</v>
      </c>
      <c r="K340" s="263">
        <f t="shared" si="18"/>
        <v>52.83018867924528</v>
      </c>
    </row>
    <row r="341" spans="1:11" ht="30.75" customHeight="1">
      <c r="A341" s="220" t="s">
        <v>80</v>
      </c>
      <c r="B341" s="182" t="s">
        <v>77</v>
      </c>
      <c r="C341" s="183" t="s">
        <v>11</v>
      </c>
      <c r="D341" s="183" t="s">
        <v>22</v>
      </c>
      <c r="E341" s="186" t="s">
        <v>81</v>
      </c>
      <c r="F341" s="183" t="s">
        <v>7</v>
      </c>
      <c r="G341" s="43"/>
      <c r="H341" s="43"/>
      <c r="I341" s="264">
        <f>I342</f>
        <v>5.3</v>
      </c>
      <c r="J341" s="264">
        <f>J342</f>
        <v>2.8</v>
      </c>
      <c r="K341" s="263">
        <f t="shared" si="18"/>
        <v>52.83018867924528</v>
      </c>
    </row>
    <row r="342" spans="1:11" ht="33" customHeight="1">
      <c r="A342" s="121" t="s">
        <v>142</v>
      </c>
      <c r="B342" s="182" t="s">
        <v>77</v>
      </c>
      <c r="C342" s="183" t="s">
        <v>11</v>
      </c>
      <c r="D342" s="183" t="s">
        <v>22</v>
      </c>
      <c r="E342" s="186" t="s">
        <v>81</v>
      </c>
      <c r="F342" s="183" t="s">
        <v>129</v>
      </c>
      <c r="G342" s="43"/>
      <c r="H342" s="43"/>
      <c r="I342" s="264">
        <v>5.3</v>
      </c>
      <c r="J342" s="315">
        <v>2.8</v>
      </c>
      <c r="K342" s="263">
        <f t="shared" si="18"/>
        <v>52.83018867924528</v>
      </c>
    </row>
    <row r="343" spans="1:11" ht="117" customHeight="1">
      <c r="A343" s="121" t="s">
        <v>158</v>
      </c>
      <c r="B343" s="182" t="s">
        <v>77</v>
      </c>
      <c r="C343" s="183" t="s">
        <v>11</v>
      </c>
      <c r="D343" s="183" t="s">
        <v>22</v>
      </c>
      <c r="E343" s="186" t="s">
        <v>159</v>
      </c>
      <c r="F343" s="183" t="s">
        <v>7</v>
      </c>
      <c r="G343" s="43"/>
      <c r="H343" s="43"/>
      <c r="I343" s="263">
        <f>I344+I345+I347+I348+I352+I355+I357+I359</f>
        <v>227.7</v>
      </c>
      <c r="J343" s="263">
        <f>J344+J347+J348+J352+J355+J357+J359</f>
        <v>226.4</v>
      </c>
      <c r="K343" s="263">
        <f t="shared" si="18"/>
        <v>99.42907334211682</v>
      </c>
    </row>
    <row r="344" spans="1:11" ht="77.25" customHeight="1">
      <c r="A344" s="228" t="s">
        <v>237</v>
      </c>
      <c r="B344" s="182" t="s">
        <v>77</v>
      </c>
      <c r="C344" s="183" t="s">
        <v>11</v>
      </c>
      <c r="D344" s="183" t="s">
        <v>22</v>
      </c>
      <c r="E344" s="186" t="s">
        <v>184</v>
      </c>
      <c r="F344" s="183" t="s">
        <v>7</v>
      </c>
      <c r="G344" s="43"/>
      <c r="H344" s="43"/>
      <c r="I344" s="263">
        <f>I345</f>
        <v>1</v>
      </c>
      <c r="J344" s="263">
        <f>J345</f>
        <v>1</v>
      </c>
      <c r="K344" s="263">
        <f t="shared" si="18"/>
        <v>100</v>
      </c>
    </row>
    <row r="345" spans="1:11" ht="29.25" customHeight="1">
      <c r="A345" s="228" t="s">
        <v>142</v>
      </c>
      <c r="B345" s="182" t="s">
        <v>77</v>
      </c>
      <c r="C345" s="183" t="s">
        <v>11</v>
      </c>
      <c r="D345" s="183" t="s">
        <v>22</v>
      </c>
      <c r="E345" s="186" t="s">
        <v>184</v>
      </c>
      <c r="F345" s="183" t="s">
        <v>129</v>
      </c>
      <c r="G345" s="43"/>
      <c r="H345" s="43"/>
      <c r="I345" s="264">
        <v>1</v>
      </c>
      <c r="J345" s="315">
        <v>1</v>
      </c>
      <c r="K345" s="263">
        <f t="shared" si="18"/>
        <v>100</v>
      </c>
    </row>
    <row r="346" spans="1:11" ht="21" customHeight="1">
      <c r="A346" s="298" t="s">
        <v>238</v>
      </c>
      <c r="B346" s="182" t="s">
        <v>77</v>
      </c>
      <c r="C346" s="183" t="s">
        <v>11</v>
      </c>
      <c r="D346" s="183" t="s">
        <v>22</v>
      </c>
      <c r="E346" s="186" t="s">
        <v>84</v>
      </c>
      <c r="F346" s="183" t="s">
        <v>7</v>
      </c>
      <c r="G346" s="43"/>
      <c r="H346" s="43"/>
      <c r="I346" s="263">
        <f>I347</f>
        <v>1.7</v>
      </c>
      <c r="J346" s="263">
        <f>J347</f>
        <v>1.5</v>
      </c>
      <c r="K346" s="263">
        <f t="shared" si="18"/>
        <v>88.23529411764706</v>
      </c>
    </row>
    <row r="347" spans="1:11" ht="29.25" customHeight="1">
      <c r="A347" s="228" t="s">
        <v>142</v>
      </c>
      <c r="B347" s="182" t="s">
        <v>77</v>
      </c>
      <c r="C347" s="183" t="s">
        <v>11</v>
      </c>
      <c r="D347" s="183" t="s">
        <v>22</v>
      </c>
      <c r="E347" s="186" t="s">
        <v>84</v>
      </c>
      <c r="F347" s="183" t="s">
        <v>129</v>
      </c>
      <c r="G347" s="43"/>
      <c r="H347" s="43"/>
      <c r="I347" s="264">
        <v>1.7</v>
      </c>
      <c r="J347" s="315">
        <v>1.5</v>
      </c>
      <c r="K347" s="263">
        <f t="shared" si="18"/>
        <v>88.23529411764706</v>
      </c>
    </row>
    <row r="348" spans="1:11" ht="44.25" customHeight="1">
      <c r="A348" s="157" t="s">
        <v>187</v>
      </c>
      <c r="B348" s="306" t="s">
        <v>77</v>
      </c>
      <c r="C348" s="155" t="s">
        <v>11</v>
      </c>
      <c r="D348" s="155" t="s">
        <v>22</v>
      </c>
      <c r="E348" s="155" t="s">
        <v>186</v>
      </c>
      <c r="F348" s="156" t="s">
        <v>7</v>
      </c>
      <c r="G348" s="43"/>
      <c r="H348" s="43"/>
      <c r="I348" s="263">
        <f>I349+I350+I351</f>
        <v>154.3</v>
      </c>
      <c r="J348" s="263">
        <f>J349+J350+J351</f>
        <v>154.3</v>
      </c>
      <c r="K348" s="263">
        <f t="shared" si="18"/>
        <v>100</v>
      </c>
    </row>
    <row r="349" spans="1:11" ht="28.5" customHeight="1">
      <c r="A349" s="212" t="s">
        <v>133</v>
      </c>
      <c r="B349" s="306" t="s">
        <v>77</v>
      </c>
      <c r="C349" s="155" t="s">
        <v>11</v>
      </c>
      <c r="D349" s="155" t="s">
        <v>22</v>
      </c>
      <c r="E349" s="155" t="s">
        <v>186</v>
      </c>
      <c r="F349" s="156" t="s">
        <v>135</v>
      </c>
      <c r="G349" s="43"/>
      <c r="H349" s="43"/>
      <c r="I349" s="264">
        <v>111.1</v>
      </c>
      <c r="J349" s="315">
        <v>111.1</v>
      </c>
      <c r="K349" s="263">
        <f t="shared" si="18"/>
        <v>100</v>
      </c>
    </row>
    <row r="350" spans="1:11" ht="35.25" customHeight="1">
      <c r="A350" s="121" t="s">
        <v>132</v>
      </c>
      <c r="B350" s="306" t="s">
        <v>77</v>
      </c>
      <c r="C350" s="155" t="s">
        <v>11</v>
      </c>
      <c r="D350" s="155" t="s">
        <v>22</v>
      </c>
      <c r="E350" s="155" t="s">
        <v>186</v>
      </c>
      <c r="F350" s="156" t="s">
        <v>136</v>
      </c>
      <c r="G350" s="43"/>
      <c r="H350" s="43"/>
      <c r="I350" s="264">
        <v>1</v>
      </c>
      <c r="J350" s="315">
        <v>1</v>
      </c>
      <c r="K350" s="263">
        <f t="shared" si="18"/>
        <v>100</v>
      </c>
    </row>
    <row r="351" spans="1:11" ht="34.5" customHeight="1">
      <c r="A351" s="121" t="s">
        <v>142</v>
      </c>
      <c r="B351" s="306" t="s">
        <v>77</v>
      </c>
      <c r="C351" s="155" t="s">
        <v>11</v>
      </c>
      <c r="D351" s="155" t="s">
        <v>22</v>
      </c>
      <c r="E351" s="155" t="s">
        <v>186</v>
      </c>
      <c r="F351" s="156" t="s">
        <v>129</v>
      </c>
      <c r="G351" s="43"/>
      <c r="H351" s="43"/>
      <c r="I351" s="264">
        <v>42.2</v>
      </c>
      <c r="J351" s="315">
        <v>42.2</v>
      </c>
      <c r="K351" s="263">
        <f t="shared" si="18"/>
        <v>100</v>
      </c>
    </row>
    <row r="352" spans="1:11" ht="29.25" customHeight="1">
      <c r="A352" s="297" t="s">
        <v>285</v>
      </c>
      <c r="B352" s="174" t="s">
        <v>77</v>
      </c>
      <c r="C352" s="156" t="s">
        <v>11</v>
      </c>
      <c r="D352" s="156" t="s">
        <v>22</v>
      </c>
      <c r="E352" s="155" t="s">
        <v>204</v>
      </c>
      <c r="F352" s="83" t="s">
        <v>7</v>
      </c>
      <c r="G352" s="43"/>
      <c r="H352" s="43"/>
      <c r="I352" s="263">
        <f>I354+I353</f>
        <v>64</v>
      </c>
      <c r="J352" s="263">
        <f>J354+J353</f>
        <v>64</v>
      </c>
      <c r="K352" s="263">
        <f t="shared" si="18"/>
        <v>100</v>
      </c>
    </row>
    <row r="353" spans="1:11" ht="29.25" customHeight="1">
      <c r="A353" s="212" t="s">
        <v>133</v>
      </c>
      <c r="B353" s="174" t="s">
        <v>77</v>
      </c>
      <c r="C353" s="156" t="s">
        <v>11</v>
      </c>
      <c r="D353" s="156" t="s">
        <v>22</v>
      </c>
      <c r="E353" s="155" t="s">
        <v>204</v>
      </c>
      <c r="F353" s="83" t="s">
        <v>135</v>
      </c>
      <c r="G353" s="43"/>
      <c r="H353" s="43"/>
      <c r="I353" s="264">
        <v>25.6</v>
      </c>
      <c r="J353" s="315">
        <v>25.6</v>
      </c>
      <c r="K353" s="263">
        <f t="shared" si="18"/>
        <v>100</v>
      </c>
    </row>
    <row r="354" spans="1:11" ht="34.5" customHeight="1">
      <c r="A354" s="121" t="s">
        <v>142</v>
      </c>
      <c r="B354" s="174" t="s">
        <v>77</v>
      </c>
      <c r="C354" s="156" t="s">
        <v>11</v>
      </c>
      <c r="D354" s="156" t="s">
        <v>22</v>
      </c>
      <c r="E354" s="155" t="s">
        <v>204</v>
      </c>
      <c r="F354" s="83" t="s">
        <v>129</v>
      </c>
      <c r="G354" s="43"/>
      <c r="H354" s="43"/>
      <c r="I354" s="264">
        <v>38.4</v>
      </c>
      <c r="J354" s="315">
        <v>38.4</v>
      </c>
      <c r="K354" s="263">
        <f t="shared" si="18"/>
        <v>100</v>
      </c>
    </row>
    <row r="355" spans="1:11" ht="89.25" customHeight="1">
      <c r="A355" s="204" t="s">
        <v>208</v>
      </c>
      <c r="B355" s="165" t="s">
        <v>77</v>
      </c>
      <c r="C355" s="49" t="s">
        <v>11</v>
      </c>
      <c r="D355" s="49" t="s">
        <v>22</v>
      </c>
      <c r="E355" s="82" t="s">
        <v>209</v>
      </c>
      <c r="F355" s="49" t="s">
        <v>7</v>
      </c>
      <c r="G355" s="43"/>
      <c r="H355" s="43"/>
      <c r="I355" s="263">
        <f>I356</f>
        <v>2.7</v>
      </c>
      <c r="J355" s="263">
        <f>J356</f>
        <v>2.7</v>
      </c>
      <c r="K355" s="263">
        <f t="shared" si="18"/>
        <v>100</v>
      </c>
    </row>
    <row r="356" spans="1:11" ht="21" customHeight="1">
      <c r="A356" s="212" t="s">
        <v>133</v>
      </c>
      <c r="B356" s="108" t="s">
        <v>77</v>
      </c>
      <c r="C356" s="163" t="s">
        <v>11</v>
      </c>
      <c r="D356" s="163" t="s">
        <v>22</v>
      </c>
      <c r="E356" s="82" t="s">
        <v>209</v>
      </c>
      <c r="F356" s="49" t="s">
        <v>135</v>
      </c>
      <c r="G356" s="43"/>
      <c r="H356" s="43"/>
      <c r="I356" s="264">
        <v>2.7</v>
      </c>
      <c r="J356" s="315">
        <v>2.7</v>
      </c>
      <c r="K356" s="263">
        <f t="shared" si="18"/>
        <v>100</v>
      </c>
    </row>
    <row r="357" spans="1:11" ht="72.75" customHeight="1">
      <c r="A357" s="121" t="s">
        <v>188</v>
      </c>
      <c r="B357" s="50" t="s">
        <v>77</v>
      </c>
      <c r="C357" s="155" t="s">
        <v>11</v>
      </c>
      <c r="D357" s="155" t="s">
        <v>22</v>
      </c>
      <c r="E357" s="155" t="s">
        <v>189</v>
      </c>
      <c r="F357" s="155" t="s">
        <v>7</v>
      </c>
      <c r="G357" s="43"/>
      <c r="H357" s="43"/>
      <c r="I357" s="263">
        <f>I358</f>
        <v>1.6</v>
      </c>
      <c r="J357" s="263">
        <f>J358</f>
        <v>1.6</v>
      </c>
      <c r="K357" s="263">
        <f t="shared" si="18"/>
        <v>100</v>
      </c>
    </row>
    <row r="358" spans="1:11" ht="30" customHeight="1">
      <c r="A358" s="121" t="s">
        <v>142</v>
      </c>
      <c r="B358" s="50" t="s">
        <v>77</v>
      </c>
      <c r="C358" s="155" t="s">
        <v>11</v>
      </c>
      <c r="D358" s="155" t="s">
        <v>22</v>
      </c>
      <c r="E358" s="155" t="s">
        <v>189</v>
      </c>
      <c r="F358" s="155" t="s">
        <v>129</v>
      </c>
      <c r="G358" s="43"/>
      <c r="H358" s="43"/>
      <c r="I358" s="264">
        <v>1.6</v>
      </c>
      <c r="J358" s="315">
        <v>1.6</v>
      </c>
      <c r="K358" s="263">
        <f t="shared" si="18"/>
        <v>100</v>
      </c>
    </row>
    <row r="359" spans="1:11" ht="72.75" customHeight="1">
      <c r="A359" s="228" t="s">
        <v>214</v>
      </c>
      <c r="B359" s="108" t="s">
        <v>77</v>
      </c>
      <c r="C359" s="163" t="s">
        <v>11</v>
      </c>
      <c r="D359" s="163" t="s">
        <v>22</v>
      </c>
      <c r="E359" s="238" t="s">
        <v>215</v>
      </c>
      <c r="F359" s="49" t="s">
        <v>7</v>
      </c>
      <c r="G359" s="43"/>
      <c r="H359" s="43"/>
      <c r="I359" s="263">
        <f>I360</f>
        <v>1.4</v>
      </c>
      <c r="J359" s="263">
        <f>J360</f>
        <v>1.3</v>
      </c>
      <c r="K359" s="263">
        <f t="shared" si="18"/>
        <v>92.85714285714288</v>
      </c>
    </row>
    <row r="360" spans="1:11" ht="30.75" customHeight="1">
      <c r="A360" s="121" t="s">
        <v>142</v>
      </c>
      <c r="B360" s="108" t="s">
        <v>77</v>
      </c>
      <c r="C360" s="163" t="s">
        <v>11</v>
      </c>
      <c r="D360" s="163" t="s">
        <v>22</v>
      </c>
      <c r="E360" s="238" t="s">
        <v>215</v>
      </c>
      <c r="F360" s="49" t="s">
        <v>129</v>
      </c>
      <c r="G360" s="43"/>
      <c r="H360" s="43"/>
      <c r="I360" s="264">
        <v>1.4</v>
      </c>
      <c r="J360" s="315">
        <v>1.3</v>
      </c>
      <c r="K360" s="263">
        <f t="shared" si="18"/>
        <v>92.85714285714288</v>
      </c>
    </row>
    <row r="361" spans="1:11" ht="18.75" customHeight="1">
      <c r="A361" s="299" t="s">
        <v>40</v>
      </c>
      <c r="B361" s="290" t="s">
        <v>77</v>
      </c>
      <c r="C361" s="291" t="s">
        <v>23</v>
      </c>
      <c r="D361" s="291" t="s">
        <v>16</v>
      </c>
      <c r="E361" s="291" t="s">
        <v>29</v>
      </c>
      <c r="F361" s="291" t="s">
        <v>7</v>
      </c>
      <c r="G361" s="235" t="e">
        <f>G368+#REF!+#REF!</f>
        <v>#REF!</v>
      </c>
      <c r="H361" s="235"/>
      <c r="I361" s="263">
        <f>I368+I362</f>
        <v>15055.800000000003</v>
      </c>
      <c r="J361" s="263">
        <f>J368+J362</f>
        <v>15035.2</v>
      </c>
      <c r="K361" s="263">
        <f t="shared" si="18"/>
        <v>99.86317565323661</v>
      </c>
    </row>
    <row r="362" spans="1:11" ht="21.75" customHeight="1">
      <c r="A362" s="215" t="s">
        <v>41</v>
      </c>
      <c r="B362" s="292" t="s">
        <v>77</v>
      </c>
      <c r="C362" s="293" t="s">
        <v>23</v>
      </c>
      <c r="D362" s="293" t="s">
        <v>24</v>
      </c>
      <c r="E362" s="293" t="s">
        <v>29</v>
      </c>
      <c r="F362" s="293" t="s">
        <v>7</v>
      </c>
      <c r="G362" s="236"/>
      <c r="H362" s="236"/>
      <c r="I362" s="263">
        <f>I363</f>
        <v>259.2</v>
      </c>
      <c r="J362" s="263">
        <f>J363</f>
        <v>252.9</v>
      </c>
      <c r="K362" s="263">
        <f t="shared" si="18"/>
        <v>97.56944444444446</v>
      </c>
    </row>
    <row r="363" spans="1:11" ht="18.75" customHeight="1">
      <c r="A363" s="213" t="s">
        <v>83</v>
      </c>
      <c r="B363" s="300" t="s">
        <v>77</v>
      </c>
      <c r="C363" s="301" t="s">
        <v>23</v>
      </c>
      <c r="D363" s="301" t="s">
        <v>24</v>
      </c>
      <c r="E363" s="301" t="s">
        <v>198</v>
      </c>
      <c r="F363" s="301" t="s">
        <v>7</v>
      </c>
      <c r="G363" s="302"/>
      <c r="H363" s="302"/>
      <c r="I363" s="270">
        <f>I364+I366</f>
        <v>259.2</v>
      </c>
      <c r="J363" s="270">
        <f>J364+J366</f>
        <v>252.9</v>
      </c>
      <c r="K363" s="263">
        <f t="shared" si="18"/>
        <v>97.56944444444446</v>
      </c>
    </row>
    <row r="364" spans="1:11" ht="73.5" customHeight="1">
      <c r="A364" s="157" t="s">
        <v>262</v>
      </c>
      <c r="B364" s="108" t="s">
        <v>77</v>
      </c>
      <c r="C364" s="12" t="s">
        <v>23</v>
      </c>
      <c r="D364" s="12" t="s">
        <v>24</v>
      </c>
      <c r="E364" s="239" t="s">
        <v>199</v>
      </c>
      <c r="F364" s="12" t="s">
        <v>7</v>
      </c>
      <c r="G364" s="161"/>
      <c r="H364" s="161"/>
      <c r="I364" s="264">
        <f>I365</f>
        <v>85.3</v>
      </c>
      <c r="J364" s="264">
        <f>J365</f>
        <v>79</v>
      </c>
      <c r="K364" s="263">
        <f t="shared" si="18"/>
        <v>92.61430246189917</v>
      </c>
    </row>
    <row r="365" spans="1:17" ht="48" customHeight="1">
      <c r="A365" s="121" t="s">
        <v>265</v>
      </c>
      <c r="B365" s="108" t="s">
        <v>77</v>
      </c>
      <c r="C365" s="12" t="s">
        <v>23</v>
      </c>
      <c r="D365" s="12" t="s">
        <v>24</v>
      </c>
      <c r="E365" s="239" t="s">
        <v>199</v>
      </c>
      <c r="F365" s="201" t="s">
        <v>225</v>
      </c>
      <c r="G365" s="161"/>
      <c r="H365" s="161"/>
      <c r="I365" s="264">
        <f>103.1-17.8</f>
        <v>85.3</v>
      </c>
      <c r="J365" s="315">
        <v>79</v>
      </c>
      <c r="K365" s="263">
        <f t="shared" si="18"/>
        <v>92.61430246189917</v>
      </c>
      <c r="N365" s="395"/>
      <c r="O365" s="395"/>
      <c r="P365" s="395"/>
      <c r="Q365" s="395"/>
    </row>
    <row r="366" spans="1:11" ht="85.5" customHeight="1">
      <c r="A366" s="159" t="s">
        <v>196</v>
      </c>
      <c r="B366" s="108" t="s">
        <v>77</v>
      </c>
      <c r="C366" s="12" t="s">
        <v>23</v>
      </c>
      <c r="D366" s="12" t="s">
        <v>24</v>
      </c>
      <c r="E366" s="239" t="s">
        <v>197</v>
      </c>
      <c r="F366" s="12" t="s">
        <v>7</v>
      </c>
      <c r="G366" s="161"/>
      <c r="H366" s="161"/>
      <c r="I366" s="264">
        <f>I367</f>
        <v>173.9</v>
      </c>
      <c r="J366" s="315">
        <v>173.9</v>
      </c>
      <c r="K366" s="263">
        <f t="shared" si="18"/>
        <v>100</v>
      </c>
    </row>
    <row r="367" spans="1:11" ht="33" customHeight="1">
      <c r="A367" s="121" t="s">
        <v>142</v>
      </c>
      <c r="B367" s="108" t="s">
        <v>77</v>
      </c>
      <c r="C367" s="12" t="s">
        <v>23</v>
      </c>
      <c r="D367" s="12" t="s">
        <v>24</v>
      </c>
      <c r="E367" s="239" t="s">
        <v>197</v>
      </c>
      <c r="F367" s="100" t="s">
        <v>129</v>
      </c>
      <c r="G367" s="161"/>
      <c r="H367" s="161"/>
      <c r="I367" s="270">
        <f>328.8+2.3-152.2-111.2+222.4+40.9-152.1-0.9-4.1</f>
        <v>173.9</v>
      </c>
      <c r="J367" s="315">
        <v>173.9</v>
      </c>
      <c r="K367" s="263">
        <f t="shared" si="18"/>
        <v>100</v>
      </c>
    </row>
    <row r="368" spans="1:11" ht="17.25" customHeight="1">
      <c r="A368" s="162" t="s">
        <v>200</v>
      </c>
      <c r="B368" s="111" t="s">
        <v>77</v>
      </c>
      <c r="C368" s="64" t="s">
        <v>23</v>
      </c>
      <c r="D368" s="64" t="s">
        <v>15</v>
      </c>
      <c r="E368" s="64" t="s">
        <v>29</v>
      </c>
      <c r="F368" s="64" t="s">
        <v>7</v>
      </c>
      <c r="G368" s="44" t="e">
        <f>#REF!</f>
        <v>#REF!</v>
      </c>
      <c r="H368" s="44"/>
      <c r="I368" s="263">
        <f>I369</f>
        <v>14796.600000000002</v>
      </c>
      <c r="J368" s="263">
        <f>J369</f>
        <v>14782.300000000001</v>
      </c>
      <c r="K368" s="263">
        <f t="shared" si="18"/>
        <v>99.9033561764189</v>
      </c>
    </row>
    <row r="369" spans="1:11" ht="130.5" customHeight="1">
      <c r="A369" s="363" t="s">
        <v>158</v>
      </c>
      <c r="B369" s="365" t="s">
        <v>77</v>
      </c>
      <c r="C369" s="364" t="s">
        <v>23</v>
      </c>
      <c r="D369" s="364" t="s">
        <v>15</v>
      </c>
      <c r="E369" s="353" t="s">
        <v>159</v>
      </c>
      <c r="F369" s="364" t="s">
        <v>7</v>
      </c>
      <c r="G369" s="69" t="e">
        <f>#REF!+#REF!</f>
        <v>#REF!</v>
      </c>
      <c r="H369" s="69"/>
      <c r="I369" s="263">
        <f>I370+I373+I375+I378</f>
        <v>14796.600000000002</v>
      </c>
      <c r="J369" s="263">
        <f>J370+J373+J375+J378</f>
        <v>14782.300000000001</v>
      </c>
      <c r="K369" s="263">
        <f t="shared" si="18"/>
        <v>99.9033561764189</v>
      </c>
    </row>
    <row r="370" spans="1:11" ht="107.25" customHeight="1">
      <c r="A370" s="14" t="s">
        <v>185</v>
      </c>
      <c r="B370" s="306" t="s">
        <v>77</v>
      </c>
      <c r="C370" s="155" t="s">
        <v>23</v>
      </c>
      <c r="D370" s="155" t="s">
        <v>15</v>
      </c>
      <c r="E370" s="155" t="s">
        <v>201</v>
      </c>
      <c r="F370" s="156" t="s">
        <v>7</v>
      </c>
      <c r="G370" s="164"/>
      <c r="H370" s="164"/>
      <c r="I370" s="266">
        <f>I371</f>
        <v>299.1</v>
      </c>
      <c r="J370" s="266">
        <f>J371</f>
        <v>296.8</v>
      </c>
      <c r="K370" s="263">
        <f t="shared" si="18"/>
        <v>99.23102641257104</v>
      </c>
    </row>
    <row r="371" spans="1:11" ht="147.75" customHeight="1">
      <c r="A371" s="16" t="s">
        <v>202</v>
      </c>
      <c r="B371" s="166" t="s">
        <v>77</v>
      </c>
      <c r="C371" s="155" t="s">
        <v>23</v>
      </c>
      <c r="D371" s="101" t="s">
        <v>15</v>
      </c>
      <c r="E371" s="101" t="s">
        <v>84</v>
      </c>
      <c r="F371" s="101" t="s">
        <v>7</v>
      </c>
      <c r="G371" s="164"/>
      <c r="H371" s="164"/>
      <c r="I371" s="266">
        <f>I372</f>
        <v>299.1</v>
      </c>
      <c r="J371" s="266">
        <f>J372</f>
        <v>296.8</v>
      </c>
      <c r="K371" s="263">
        <f t="shared" si="18"/>
        <v>99.23102641257104</v>
      </c>
    </row>
    <row r="372" spans="1:11" ht="43.5" customHeight="1">
      <c r="A372" s="121" t="s">
        <v>265</v>
      </c>
      <c r="B372" s="166" t="s">
        <v>77</v>
      </c>
      <c r="C372" s="155" t="s">
        <v>23</v>
      </c>
      <c r="D372" s="101" t="s">
        <v>15</v>
      </c>
      <c r="E372" s="101" t="s">
        <v>84</v>
      </c>
      <c r="F372" s="101" t="s">
        <v>225</v>
      </c>
      <c r="G372" s="164"/>
      <c r="H372" s="164"/>
      <c r="I372" s="266">
        <f>349.1-50</f>
        <v>299.1</v>
      </c>
      <c r="J372" s="314">
        <v>296.8</v>
      </c>
      <c r="K372" s="263">
        <f t="shared" si="18"/>
        <v>99.23102641257104</v>
      </c>
    </row>
    <row r="373" spans="1:11" ht="47.25" customHeight="1">
      <c r="A373" s="204" t="s">
        <v>203</v>
      </c>
      <c r="B373" s="111" t="s">
        <v>77</v>
      </c>
      <c r="C373" s="21" t="s">
        <v>23</v>
      </c>
      <c r="D373" s="21" t="s">
        <v>15</v>
      </c>
      <c r="E373" s="289" t="s">
        <v>204</v>
      </c>
      <c r="F373" s="21" t="s">
        <v>7</v>
      </c>
      <c r="G373" s="69"/>
      <c r="H373" s="69"/>
      <c r="I373" s="263">
        <f>I374</f>
        <v>13422.7</v>
      </c>
      <c r="J373" s="263">
        <f>J374</f>
        <v>13410.7</v>
      </c>
      <c r="K373" s="263">
        <f t="shared" si="18"/>
        <v>99.91059920880299</v>
      </c>
    </row>
    <row r="374" spans="1:11" ht="42.75" customHeight="1">
      <c r="A374" s="228" t="s">
        <v>265</v>
      </c>
      <c r="B374" s="50" t="s">
        <v>77</v>
      </c>
      <c r="C374" s="49" t="s">
        <v>23</v>
      </c>
      <c r="D374" s="49" t="s">
        <v>15</v>
      </c>
      <c r="E374" s="82" t="s">
        <v>204</v>
      </c>
      <c r="F374" s="49" t="s">
        <v>225</v>
      </c>
      <c r="G374" s="164"/>
      <c r="H374" s="164"/>
      <c r="I374" s="264">
        <f>12304.2+1173-53-1.5</f>
        <v>13422.7</v>
      </c>
      <c r="J374" s="314">
        <v>13410.7</v>
      </c>
      <c r="K374" s="263">
        <f t="shared" si="18"/>
        <v>99.91059920880299</v>
      </c>
    </row>
    <row r="375" spans="1:11" ht="30.75" customHeight="1">
      <c r="A375" s="6" t="s">
        <v>206</v>
      </c>
      <c r="B375" s="102" t="s">
        <v>77</v>
      </c>
      <c r="C375" s="359" t="s">
        <v>23</v>
      </c>
      <c r="D375" s="15" t="s">
        <v>15</v>
      </c>
      <c r="E375" s="360" t="s">
        <v>207</v>
      </c>
      <c r="F375" s="359" t="s">
        <v>7</v>
      </c>
      <c r="G375" s="361" t="e">
        <f>#REF!</f>
        <v>#REF!</v>
      </c>
      <c r="H375" s="361"/>
      <c r="I375" s="263">
        <f>I376+I377</f>
        <v>499.6</v>
      </c>
      <c r="J375" s="263">
        <f>J376+J377</f>
        <v>499.6</v>
      </c>
      <c r="K375" s="263">
        <f t="shared" si="18"/>
        <v>100</v>
      </c>
    </row>
    <row r="376" spans="1:11" ht="21" customHeight="1">
      <c r="A376" s="212" t="s">
        <v>133</v>
      </c>
      <c r="B376" s="119" t="s">
        <v>77</v>
      </c>
      <c r="C376" s="96" t="s">
        <v>23</v>
      </c>
      <c r="D376" s="163" t="s">
        <v>15</v>
      </c>
      <c r="E376" s="155" t="s">
        <v>207</v>
      </c>
      <c r="F376" s="83" t="s">
        <v>135</v>
      </c>
      <c r="G376" s="43"/>
      <c r="H376" s="43"/>
      <c r="I376" s="264">
        <f>499.6-5</f>
        <v>494.6</v>
      </c>
      <c r="J376" s="315">
        <v>494.6</v>
      </c>
      <c r="K376" s="263">
        <f t="shared" si="18"/>
        <v>100</v>
      </c>
    </row>
    <row r="377" spans="1:11" ht="33.75" customHeight="1">
      <c r="A377" s="121" t="s">
        <v>142</v>
      </c>
      <c r="B377" s="119" t="s">
        <v>77</v>
      </c>
      <c r="C377" s="96" t="s">
        <v>23</v>
      </c>
      <c r="D377" s="163" t="s">
        <v>15</v>
      </c>
      <c r="E377" s="155" t="s">
        <v>207</v>
      </c>
      <c r="F377" s="83" t="s">
        <v>129</v>
      </c>
      <c r="G377" s="43"/>
      <c r="H377" s="43"/>
      <c r="I377" s="264">
        <v>5</v>
      </c>
      <c r="J377" s="315">
        <v>5</v>
      </c>
      <c r="K377" s="263">
        <f t="shared" si="18"/>
        <v>100</v>
      </c>
    </row>
    <row r="378" spans="1:11" ht="89.25" customHeight="1">
      <c r="A378" s="204" t="s">
        <v>208</v>
      </c>
      <c r="B378" s="116" t="s">
        <v>77</v>
      </c>
      <c r="C378" s="21" t="s">
        <v>23</v>
      </c>
      <c r="D378" s="21" t="s">
        <v>15</v>
      </c>
      <c r="E378" s="362" t="s">
        <v>209</v>
      </c>
      <c r="F378" s="21" t="s">
        <v>7</v>
      </c>
      <c r="G378" s="76" t="e">
        <f>#REF!</f>
        <v>#REF!</v>
      </c>
      <c r="H378" s="76"/>
      <c r="I378" s="263">
        <f>I379</f>
        <v>575.2</v>
      </c>
      <c r="J378" s="263">
        <f>J379</f>
        <v>575.2</v>
      </c>
      <c r="K378" s="263">
        <f t="shared" si="18"/>
        <v>100</v>
      </c>
    </row>
    <row r="379" spans="1:11" ht="43.5" customHeight="1">
      <c r="A379" s="121" t="s">
        <v>265</v>
      </c>
      <c r="B379" s="108" t="s">
        <v>77</v>
      </c>
      <c r="C379" s="163" t="s">
        <v>23</v>
      </c>
      <c r="D379" s="163" t="s">
        <v>15</v>
      </c>
      <c r="E379" s="234" t="s">
        <v>209</v>
      </c>
      <c r="F379" s="49" t="s">
        <v>225</v>
      </c>
      <c r="G379" s="164"/>
      <c r="H379" s="164"/>
      <c r="I379" s="264">
        <f>545+30.1+0.1</f>
        <v>575.2</v>
      </c>
      <c r="J379" s="314">
        <v>575.2</v>
      </c>
      <c r="K379" s="263">
        <f t="shared" si="18"/>
        <v>100</v>
      </c>
    </row>
    <row r="380" spans="1:14" ht="27.75" customHeight="1">
      <c r="A380" s="259" t="s">
        <v>56</v>
      </c>
      <c r="B380" s="260"/>
      <c r="C380" s="261"/>
      <c r="D380" s="261"/>
      <c r="E380" s="261"/>
      <c r="F380" s="261"/>
      <c r="G380" s="262" t="e">
        <f>G15+G128+G171+G178+#REF!+G228</f>
        <v>#REF!</v>
      </c>
      <c r="H380" s="262" t="e">
        <f>H15+H128+H171+H178+#REF!+H228</f>
        <v>#REF!</v>
      </c>
      <c r="I380" s="274">
        <f>I15+I128+I171+I228+I178</f>
        <v>209647.04399999997</v>
      </c>
      <c r="J380" s="274">
        <f>J15+J128+J171+J228+J178</f>
        <v>206599</v>
      </c>
      <c r="K380" s="263">
        <f t="shared" si="18"/>
        <v>98.54610685567312</v>
      </c>
      <c r="N380" s="240"/>
    </row>
  </sheetData>
  <sheetProtection/>
  <mergeCells count="20">
    <mergeCell ref="D12:D14"/>
    <mergeCell ref="E12:E14"/>
    <mergeCell ref="L29:Q29"/>
    <mergeCell ref="N40:P40"/>
    <mergeCell ref="N137:P137"/>
    <mergeCell ref="N365:Q365"/>
    <mergeCell ref="F12:F14"/>
    <mergeCell ref="G12:G13"/>
    <mergeCell ref="H12:H13"/>
    <mergeCell ref="K12:K13"/>
    <mergeCell ref="I12:I13"/>
    <mergeCell ref="J12:J13"/>
    <mergeCell ref="C1:K1"/>
    <mergeCell ref="A2:K2"/>
    <mergeCell ref="A3:K3"/>
    <mergeCell ref="B4:K7"/>
    <mergeCell ref="A9:K11"/>
    <mergeCell ref="A12:A14"/>
    <mergeCell ref="B12:B14"/>
    <mergeCell ref="C12:C14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2014-03-27T04:31:59Z</cp:lastPrinted>
  <dcterms:created xsi:type="dcterms:W3CDTF">2005-02-21T06:34:52Z</dcterms:created>
  <dcterms:modified xsi:type="dcterms:W3CDTF">2014-05-16T07:04:06Z</dcterms:modified>
  <cp:category/>
  <cp:version/>
  <cp:contentType/>
  <cp:contentStatus/>
</cp:coreProperties>
</file>